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autoCompressPictures="0"/>
  <mc:AlternateContent xmlns:mc="http://schemas.openxmlformats.org/markup-compatibility/2006">
    <mc:Choice Requires="x15">
      <x15ac:absPath xmlns:x15ac="http://schemas.microsoft.com/office/spreadsheetml/2010/11/ac" url="/Users/lukeduenas/Downloads/DOCUMENTS/ORSP GRANTS TRACKING/UNIT GRANT INVENTORY/2019 ORSP MASTER GRANT LISTINGS/"/>
    </mc:Choice>
  </mc:AlternateContent>
  <xr:revisionPtr revIDLastSave="0" documentId="13_ncr:1_{02C5B45E-2F6E-D646-90B0-99509B8FA2B4}" xr6:coauthVersionLast="43" xr6:coauthVersionMax="43" xr10:uidLastSave="{00000000-0000-0000-0000-000000000000}"/>
  <bookViews>
    <workbookView xWindow="52200" yWindow="1040" windowWidth="31980" windowHeight="19280" activeTab="6" xr2:uid="{00000000-000D-0000-FFFF-FFFF00000000}"/>
  </bookViews>
  <sheets>
    <sheet name="MASTER" sheetId="6" r:id="rId1"/>
    <sheet name="CEDDERS" sheetId="10" r:id="rId2"/>
    <sheet name="CLASS" sheetId="13" r:id="rId3"/>
    <sheet name="CNAS" sheetId="11" r:id="rId4"/>
    <sheet name="EMSS" sheetId="12" r:id="rId5"/>
    <sheet name="MARI" sheetId="14" r:id="rId6"/>
    <sheet name="ORSP" sheetId="16" r:id="rId7"/>
    <sheet name="RCUOG" sheetId="17" r:id="rId8"/>
    <sheet name="SBPA" sheetId="18" r:id="rId9"/>
    <sheet name="SOH" sheetId="19" r:id="rId10"/>
    <sheet name="WERI" sheetId="20" r:id="rId11"/>
    <sheet name="MISC DEPT" sheetId="15" r:id="rId12"/>
    <sheet name="CLOSED" sheetId="23" r:id="rId13"/>
    <sheet name="ACRONYMS" sheetId="21" r:id="rId14"/>
  </sheets>
  <definedNames>
    <definedName name="_xlnm.Print_Area" localSheetId="1">CEDDERS!$A$1:$K$28</definedName>
    <definedName name="_xlnm.Print_Area" localSheetId="2">CLASS!$B$1:$M$6</definedName>
    <definedName name="_xlnm.Print_Area" localSheetId="12">CLOSED!$B$2:$M$31</definedName>
    <definedName name="_xlnm.Print_Area" localSheetId="3">CNAS!$B$3:$M$88</definedName>
    <definedName name="_xlnm.Print_Area" localSheetId="4">EMSS!$B$1:$M$8</definedName>
    <definedName name="_xlnm.Print_Area" localSheetId="5">MARI!$B$1:$M$17</definedName>
    <definedName name="_xlnm.Print_Area" localSheetId="0">MASTER!$B$2:$N$244</definedName>
    <definedName name="_xlnm.Print_Area" localSheetId="11">'MISC DEPT'!$B$1:$M$14</definedName>
    <definedName name="_xlnm.Print_Area" localSheetId="6">ORSP!$B$2:$N$52</definedName>
    <definedName name="_xlnm.Print_Area" localSheetId="7">RCUOG!$B$1:$M$11</definedName>
    <definedName name="_xlnm.Print_Area" localSheetId="8">SBPA!$B$1:$M$12</definedName>
    <definedName name="_xlnm.Print_Area" localSheetId="9">SOH!$B$1:$M$8</definedName>
    <definedName name="_xlnm.Print_Area" localSheetId="10">WERI!$B$2:$M$35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1" i="18" l="1"/>
  <c r="AB206" i="6" l="1"/>
  <c r="AB204" i="6"/>
  <c r="AB196" i="6"/>
  <c r="J7" i="17"/>
  <c r="S143" i="6" l="1"/>
  <c r="Q143" i="6"/>
  <c r="Z143" i="6" s="1"/>
  <c r="AA143" i="6" s="1"/>
  <c r="P3" i="16"/>
  <c r="Y3" i="16" s="1"/>
  <c r="Z3" i="16" s="1"/>
  <c r="Z127" i="6"/>
  <c r="Q207" i="6" l="1"/>
  <c r="Z207" i="6" s="1"/>
  <c r="AA207" i="6" s="1"/>
  <c r="U172" i="6" l="1"/>
  <c r="Z172" i="6" s="1"/>
  <c r="AA172" i="6" s="1"/>
  <c r="U32" i="16"/>
  <c r="T32" i="16"/>
  <c r="R32" i="16"/>
  <c r="P32" i="16"/>
  <c r="Y32" i="16" l="1"/>
  <c r="Z32" i="16" s="1"/>
  <c r="AB244" i="6"/>
  <c r="AB211" i="6"/>
  <c r="AB122" i="6"/>
  <c r="AB117" i="6"/>
  <c r="AB141" i="6" l="1"/>
  <c r="K130" i="6" l="1"/>
  <c r="J5" i="14"/>
  <c r="AB139" i="6" l="1"/>
  <c r="AA127" i="6"/>
  <c r="Z36" i="6"/>
  <c r="AA36" i="6" s="1"/>
  <c r="Z37" i="6"/>
  <c r="AA37" i="6" s="1"/>
  <c r="Z38" i="6"/>
  <c r="AA38" i="6" s="1"/>
  <c r="Z39" i="6"/>
  <c r="AA39" i="6" s="1"/>
  <c r="Z40" i="6"/>
  <c r="AA40" i="6" s="1"/>
  <c r="Z41" i="6"/>
  <c r="AA41" i="6" s="1"/>
  <c r="Z42" i="6"/>
  <c r="AA42" i="6" s="1"/>
  <c r="Z43" i="6"/>
  <c r="AA43" i="6" s="1"/>
  <c r="T44" i="6"/>
  <c r="Z44" i="6" s="1"/>
  <c r="AA44" i="6" s="1"/>
  <c r="Q45" i="6"/>
  <c r="S45" i="6"/>
  <c r="T45" i="6"/>
  <c r="V45" i="6"/>
  <c r="Y45" i="6"/>
  <c r="Z46" i="6"/>
  <c r="AA46" i="6" s="1"/>
  <c r="Z47" i="6"/>
  <c r="AA47" i="6" s="1"/>
  <c r="Z48" i="6"/>
  <c r="AA48" i="6" s="1"/>
  <c r="Z49" i="6"/>
  <c r="AA49" i="6" s="1"/>
  <c r="U50" i="6"/>
  <c r="Z50" i="6" s="1"/>
  <c r="AA50" i="6" s="1"/>
  <c r="Z51" i="6"/>
  <c r="AA51" i="6" s="1"/>
  <c r="Z66" i="6"/>
  <c r="AA66" i="6" s="1"/>
  <c r="Z67" i="6"/>
  <c r="AA67" i="6" s="1"/>
  <c r="X68" i="6"/>
  <c r="Z68" i="6" s="1"/>
  <c r="AA68" i="6" s="1"/>
  <c r="Q69" i="6"/>
  <c r="Z69" i="6" s="1"/>
  <c r="AA69" i="6" s="1"/>
  <c r="Z70" i="6"/>
  <c r="AA70" i="6" s="1"/>
  <c r="Q71" i="6"/>
  <c r="X71" i="6"/>
  <c r="Z73" i="6"/>
  <c r="AA73" i="6" s="1"/>
  <c r="Z74" i="6"/>
  <c r="AA74" i="6" s="1"/>
  <c r="Z81" i="6"/>
  <c r="AA81" i="6" s="1"/>
  <c r="Z82" i="6"/>
  <c r="AA82" i="6" s="1"/>
  <c r="Z95" i="6"/>
  <c r="AA95" i="6" s="1"/>
  <c r="Z99" i="6"/>
  <c r="AA99" i="6" s="1"/>
  <c r="Z100" i="6"/>
  <c r="AA100" i="6" s="1"/>
  <c r="Z103" i="6"/>
  <c r="AA103" i="6" s="1"/>
  <c r="Z104" i="6"/>
  <c r="AA104" i="6" s="1"/>
  <c r="Z105" i="6"/>
  <c r="AA105" i="6" s="1"/>
  <c r="Z106" i="6"/>
  <c r="AA106" i="6" s="1"/>
  <c r="K151" i="6"/>
  <c r="K158" i="6"/>
  <c r="K162" i="6"/>
  <c r="K169" i="6"/>
  <c r="K177" i="6"/>
  <c r="K185" i="6"/>
  <c r="AB189" i="6" l="1"/>
  <c r="Z45" i="6"/>
  <c r="AA45" i="6" s="1"/>
  <c r="Z71" i="6"/>
  <c r="AA71" i="6" s="1"/>
  <c r="Q18" i="23" l="1"/>
  <c r="X18" i="23" s="1"/>
  <c r="Y18" i="23" s="1"/>
  <c r="N17" i="23"/>
  <c r="X17" i="23" s="1"/>
  <c r="Y17" i="23" s="1"/>
  <c r="Q15" i="23"/>
  <c r="X15" i="23" s="1"/>
  <c r="Y15" i="23" s="1"/>
  <c r="X13" i="23"/>
  <c r="Y13" i="23" s="1"/>
  <c r="X14" i="23"/>
  <c r="Y14" i="23" s="1"/>
  <c r="X16" i="23"/>
  <c r="Y16" i="23" s="1"/>
  <c r="X10" i="23" l="1"/>
  <c r="Y10" i="23" s="1"/>
  <c r="T12" i="23"/>
  <c r="S12" i="23"/>
  <c r="N12" i="23"/>
  <c r="U11" i="23"/>
  <c r="S11" i="23"/>
  <c r="Q11" i="23"/>
  <c r="P11" i="23"/>
  <c r="O11" i="23"/>
  <c r="N11" i="23"/>
  <c r="X12" i="23" l="1"/>
  <c r="Y12" i="23" s="1"/>
  <c r="X11" i="23"/>
  <c r="Y11" i="23" s="1"/>
  <c r="J31" i="23"/>
  <c r="X27" i="23"/>
  <c r="Y27" i="23" s="1"/>
  <c r="N26" i="23"/>
  <c r="X26" i="23" s="1"/>
  <c r="Y26" i="23" s="1"/>
  <c r="Q25" i="23"/>
  <c r="X25" i="23" s="1"/>
  <c r="Y25" i="23" s="1"/>
  <c r="Q24" i="23"/>
  <c r="X24" i="23" s="1"/>
  <c r="Y24" i="23" s="1"/>
  <c r="W23" i="23"/>
  <c r="V23" i="23"/>
  <c r="Q23" i="23"/>
  <c r="P23" i="23"/>
  <c r="N23" i="23"/>
  <c r="O22" i="23"/>
  <c r="N22" i="23"/>
  <c r="X22" i="23" s="1"/>
  <c r="Y22" i="23" s="1"/>
  <c r="X21" i="23"/>
  <c r="Y21" i="23" s="1"/>
  <c r="Q20" i="23"/>
  <c r="X20" i="23" s="1"/>
  <c r="Y20" i="23" s="1"/>
  <c r="Q19" i="23"/>
  <c r="X19" i="23" s="1"/>
  <c r="Y19" i="23" s="1"/>
  <c r="X3" i="23"/>
  <c r="Y3" i="23" s="1"/>
  <c r="X23" i="23" l="1"/>
  <c r="Y23" i="23" s="1"/>
  <c r="Z190" i="6"/>
  <c r="AA190" i="6" s="1"/>
  <c r="X5" i="17"/>
  <c r="Y5" i="17" s="1"/>
  <c r="X6" i="17"/>
  <c r="Y6" i="17" s="1"/>
  <c r="J6" i="12" l="1"/>
  <c r="J86" i="11"/>
  <c r="J4" i="13"/>
  <c r="Q205" i="6" l="1"/>
  <c r="Z205" i="6" s="1"/>
  <c r="AA205" i="6" s="1"/>
  <c r="J35" i="20" l="1"/>
  <c r="AB33" i="6"/>
  <c r="Z212" i="6"/>
  <c r="AA212" i="6" s="1"/>
  <c r="T35" i="6"/>
  <c r="Z35" i="6" s="1"/>
  <c r="AA35" i="6" s="1"/>
  <c r="Z30" i="6"/>
  <c r="AA30" i="6" s="1"/>
  <c r="Z29" i="6"/>
  <c r="AA29" i="6" s="1"/>
  <c r="V28" i="6"/>
  <c r="U28" i="6"/>
  <c r="Z27" i="6"/>
  <c r="AA27" i="6" s="1"/>
  <c r="Z26" i="6"/>
  <c r="AA26" i="6" s="1"/>
  <c r="S25" i="6"/>
  <c r="Z25" i="6" s="1"/>
  <c r="AA25" i="6" s="1"/>
  <c r="S24" i="6"/>
  <c r="Z24" i="6" s="1"/>
  <c r="AA24" i="6" s="1"/>
  <c r="Z23" i="6"/>
  <c r="AA23" i="6" s="1"/>
  <c r="Z22" i="6"/>
  <c r="AA22" i="6" s="1"/>
  <c r="Z20" i="6"/>
  <c r="AA20" i="6" s="1"/>
  <c r="Z19" i="6"/>
  <c r="AA19" i="6" s="1"/>
  <c r="Z16" i="6"/>
  <c r="AA16" i="6" s="1"/>
  <c r="Z15" i="6"/>
  <c r="AA15" i="6" s="1"/>
  <c r="U14" i="6"/>
  <c r="Z14" i="6" s="1"/>
  <c r="K13" i="6"/>
  <c r="AB30" i="6" s="1"/>
  <c r="V13" i="6"/>
  <c r="U13" i="6"/>
  <c r="S13" i="6"/>
  <c r="V12" i="6"/>
  <c r="U12" i="6"/>
  <c r="S12" i="6"/>
  <c r="S11" i="6"/>
  <c r="Z11" i="6" s="1"/>
  <c r="AA11" i="6" s="1"/>
  <c r="Z9" i="6"/>
  <c r="AA9" i="6" s="1"/>
  <c r="Z8" i="6"/>
  <c r="AA8" i="6" s="1"/>
  <c r="X7" i="6"/>
  <c r="Z7" i="6" s="1"/>
  <c r="AA7" i="6" s="1"/>
  <c r="V5" i="6"/>
  <c r="U5" i="6"/>
  <c r="S5" i="6"/>
  <c r="Z4" i="6"/>
  <c r="AA4" i="6" s="1"/>
  <c r="Z133" i="6"/>
  <c r="AA133" i="6" s="1"/>
  <c r="Z132" i="6"/>
  <c r="AA132" i="6" s="1"/>
  <c r="Z131" i="6"/>
  <c r="AA131" i="6" s="1"/>
  <c r="Z130" i="6"/>
  <c r="AA130" i="6" s="1"/>
  <c r="X128" i="6"/>
  <c r="P128" i="6"/>
  <c r="Q123" i="6"/>
  <c r="Z123" i="6" s="1"/>
  <c r="AA123" i="6" s="1"/>
  <c r="Z128" i="6" l="1"/>
  <c r="AA128" i="6" s="1"/>
  <c r="Z12" i="6"/>
  <c r="AA12" i="6" s="1"/>
  <c r="AA14" i="6"/>
  <c r="Z5" i="6"/>
  <c r="AA5" i="6" s="1"/>
  <c r="Z13" i="6"/>
  <c r="AA13" i="6" s="1"/>
  <c r="Z28" i="6"/>
  <c r="AA28" i="6" s="1"/>
  <c r="Z199" i="6" l="1"/>
  <c r="AA199" i="6" s="1"/>
  <c r="Z198" i="6"/>
  <c r="AA198" i="6" s="1"/>
  <c r="Z197" i="6"/>
  <c r="AA197" i="6" s="1"/>
  <c r="Z195" i="6"/>
  <c r="AA195" i="6" s="1"/>
  <c r="Z173" i="6"/>
  <c r="AA173" i="6" s="1"/>
  <c r="V171" i="6"/>
  <c r="U171" i="6"/>
  <c r="S171" i="6"/>
  <c r="Q171" i="6"/>
  <c r="P171" i="6"/>
  <c r="U170" i="6"/>
  <c r="P170" i="6"/>
  <c r="V169" i="6"/>
  <c r="U169" i="6"/>
  <c r="S169" i="6"/>
  <c r="Q169" i="6"/>
  <c r="U168" i="6"/>
  <c r="Z168" i="6" s="1"/>
  <c r="Y167" i="6"/>
  <c r="X167" i="6"/>
  <c r="V167" i="6"/>
  <c r="T167" i="6"/>
  <c r="S167" i="6"/>
  <c r="Q167" i="6"/>
  <c r="P167" i="6"/>
  <c r="S166" i="6"/>
  <c r="Q166" i="6"/>
  <c r="Y164" i="6"/>
  <c r="X164" i="6"/>
  <c r="V164" i="6"/>
  <c r="U164" i="6"/>
  <c r="T164" i="6"/>
  <c r="S164" i="6"/>
  <c r="Q164" i="6"/>
  <c r="U163" i="6"/>
  <c r="Q163" i="6"/>
  <c r="P163" i="6"/>
  <c r="X161" i="6"/>
  <c r="U161" i="6"/>
  <c r="T161" i="6"/>
  <c r="Q158" i="6"/>
  <c r="Z158" i="6" s="1"/>
  <c r="AA158" i="6" s="1"/>
  <c r="X157" i="6"/>
  <c r="V157" i="6"/>
  <c r="T157" i="6"/>
  <c r="Q157" i="6"/>
  <c r="V156" i="6"/>
  <c r="U156" i="6"/>
  <c r="Q156" i="6"/>
  <c r="P156" i="6"/>
  <c r="Y154" i="6"/>
  <c r="X154" i="6"/>
  <c r="W154" i="6"/>
  <c r="V154" i="6"/>
  <c r="U154" i="6"/>
  <c r="T154" i="6"/>
  <c r="S154" i="6"/>
  <c r="R154" i="6"/>
  <c r="P154" i="6"/>
  <c r="Y153" i="6"/>
  <c r="U153" i="6"/>
  <c r="T153" i="6"/>
  <c r="S153" i="6"/>
  <c r="Q153" i="6"/>
  <c r="Z151" i="6"/>
  <c r="AA151" i="6" s="1"/>
  <c r="S150" i="6"/>
  <c r="Q150" i="6"/>
  <c r="X149" i="6"/>
  <c r="U149" i="6"/>
  <c r="S147" i="6"/>
  <c r="R147" i="6"/>
  <c r="X146" i="6"/>
  <c r="S146" i="6"/>
  <c r="Q146" i="6"/>
  <c r="P146" i="6"/>
  <c r="Z145" i="6"/>
  <c r="AA145" i="6" s="1"/>
  <c r="T144" i="6"/>
  <c r="Z144" i="6" s="1"/>
  <c r="Q142" i="6"/>
  <c r="Z142" i="6" s="1"/>
  <c r="AA142" i="6" s="1"/>
  <c r="Z120" i="6"/>
  <c r="AA120" i="6" s="1"/>
  <c r="Z119" i="6"/>
  <c r="AA119" i="6" s="1"/>
  <c r="Z118" i="6"/>
  <c r="AA118" i="6" s="1"/>
  <c r="U33" i="6"/>
  <c r="Z33" i="6" s="1"/>
  <c r="AA33" i="6" s="1"/>
  <c r="Z32" i="6"/>
  <c r="AA32" i="6" s="1"/>
  <c r="J7" i="19"/>
  <c r="K3" i="6" l="1"/>
  <c r="Z149" i="6"/>
  <c r="AA149" i="6" s="1"/>
  <c r="Z163" i="6"/>
  <c r="AA163" i="6" s="1"/>
  <c r="Z166" i="6"/>
  <c r="AA166" i="6" s="1"/>
  <c r="Z170" i="6"/>
  <c r="AA170" i="6" s="1"/>
  <c r="Z146" i="6"/>
  <c r="AA146" i="6" s="1"/>
  <c r="Z153" i="6"/>
  <c r="AA153" i="6" s="1"/>
  <c r="AA144" i="6"/>
  <c r="Z150" i="6"/>
  <c r="AA150" i="6" s="1"/>
  <c r="Z147" i="6"/>
  <c r="AA147" i="6" s="1"/>
  <c r="AA168" i="6"/>
  <c r="Z154" i="6"/>
  <c r="AA154" i="6" s="1"/>
  <c r="Z156" i="6"/>
  <c r="AA156" i="6" s="1"/>
  <c r="Z157" i="6"/>
  <c r="AA157" i="6" s="1"/>
  <c r="Z161" i="6"/>
  <c r="AA161" i="6" s="1"/>
  <c r="Z169" i="6"/>
  <c r="AA169" i="6" s="1"/>
  <c r="Z171" i="6"/>
  <c r="AA171" i="6" s="1"/>
  <c r="Z164" i="6"/>
  <c r="AA164" i="6" s="1"/>
  <c r="Z167" i="6"/>
  <c r="AA167" i="6" s="1"/>
  <c r="X68" i="11"/>
  <c r="Y68" i="11" s="1"/>
  <c r="X67" i="11"/>
  <c r="Y67" i="11" s="1"/>
  <c r="X66" i="11"/>
  <c r="Y66" i="11" s="1"/>
  <c r="X65" i="11"/>
  <c r="Y65" i="11" s="1"/>
  <c r="X61" i="11"/>
  <c r="Y61" i="11" s="1"/>
  <c r="X59" i="11"/>
  <c r="Y59" i="11" s="1"/>
  <c r="X58" i="11"/>
  <c r="Y58" i="11" s="1"/>
  <c r="X38" i="11"/>
  <c r="Y38" i="11" s="1"/>
  <c r="X37" i="11"/>
  <c r="Y37" i="11" s="1"/>
  <c r="X32" i="11"/>
  <c r="Y32" i="11" s="1"/>
  <c r="X29" i="11"/>
  <c r="Y29" i="11" s="1"/>
  <c r="X28" i="11"/>
  <c r="Y28" i="11" s="1"/>
  <c r="X27" i="10" l="1"/>
  <c r="Y27" i="10" s="1"/>
  <c r="Q24" i="10"/>
  <c r="X24" i="10" s="1"/>
  <c r="Y24" i="10" s="1"/>
  <c r="X19" i="10"/>
  <c r="Y19" i="10" s="1"/>
  <c r="T13" i="10"/>
  <c r="S13" i="10"/>
  <c r="Q13" i="10"/>
  <c r="X9" i="10"/>
  <c r="Y9" i="10" s="1"/>
  <c r="X13" i="10" l="1"/>
  <c r="Y13" i="10" s="1"/>
  <c r="X4" i="18"/>
  <c r="Y4" i="18" s="1"/>
  <c r="J22" i="16" l="1"/>
  <c r="J11" i="16"/>
  <c r="J29" i="16"/>
  <c r="J18" i="16"/>
  <c r="J37" i="16"/>
  <c r="J45" i="16"/>
  <c r="Y34" i="16"/>
  <c r="Z34" i="16" s="1"/>
  <c r="O33" i="16"/>
  <c r="P33" i="16"/>
  <c r="R33" i="16"/>
  <c r="T33" i="16"/>
  <c r="U33" i="16"/>
  <c r="O31" i="16"/>
  <c r="T31" i="16"/>
  <c r="T30" i="16"/>
  <c r="Y30" i="16" s="1"/>
  <c r="T29" i="16"/>
  <c r="Y29" i="16" s="1"/>
  <c r="O28" i="16"/>
  <c r="P28" i="16"/>
  <c r="R28" i="16"/>
  <c r="S28" i="16"/>
  <c r="U28" i="16"/>
  <c r="W28" i="16"/>
  <c r="X28" i="16"/>
  <c r="P27" i="16"/>
  <c r="R27" i="16"/>
  <c r="P26" i="16"/>
  <c r="R26" i="16"/>
  <c r="S26" i="16"/>
  <c r="T26" i="16"/>
  <c r="U26" i="16"/>
  <c r="W26" i="16"/>
  <c r="X26" i="16"/>
  <c r="O24" i="16"/>
  <c r="P24" i="16"/>
  <c r="T24" i="16"/>
  <c r="S22" i="16"/>
  <c r="T22" i="16"/>
  <c r="W22" i="16"/>
  <c r="P21" i="16"/>
  <c r="Y21" i="16" s="1"/>
  <c r="Z21" i="16" s="1"/>
  <c r="P18" i="16"/>
  <c r="S18" i="16"/>
  <c r="U18" i="16"/>
  <c r="W18" i="16"/>
  <c r="O17" i="16"/>
  <c r="P17" i="16"/>
  <c r="T17" i="16"/>
  <c r="U17" i="16"/>
  <c r="O16" i="16"/>
  <c r="Q16" i="16"/>
  <c r="R16" i="16"/>
  <c r="S16" i="16"/>
  <c r="T16" i="16"/>
  <c r="U16" i="16"/>
  <c r="V16" i="16"/>
  <c r="W16" i="16"/>
  <c r="X16" i="16"/>
  <c r="P14" i="16"/>
  <c r="R14" i="16"/>
  <c r="S14" i="16"/>
  <c r="T14" i="16"/>
  <c r="X14" i="16"/>
  <c r="Y13" i="16"/>
  <c r="Z13" i="16" s="1"/>
  <c r="P11" i="16"/>
  <c r="R11" i="16"/>
  <c r="T10" i="16"/>
  <c r="W10" i="16"/>
  <c r="Q9" i="16"/>
  <c r="R9" i="16"/>
  <c r="O7" i="16"/>
  <c r="P7" i="16"/>
  <c r="R7" i="16"/>
  <c r="W7" i="16"/>
  <c r="Y6" i="16"/>
  <c r="Z6" i="16" s="1"/>
  <c r="S5" i="16"/>
  <c r="Y5" i="16" s="1"/>
  <c r="Z5" i="16" s="1"/>
  <c r="P4" i="16"/>
  <c r="R4" i="16"/>
  <c r="J15" i="14"/>
  <c r="O26" i="11"/>
  <c r="V26" i="11"/>
  <c r="X25" i="11"/>
  <c r="Y25" i="11" s="1"/>
  <c r="O23" i="11"/>
  <c r="X23" i="11" s="1"/>
  <c r="Y23" i="11" s="1"/>
  <c r="V22" i="11"/>
  <c r="X22" i="11" s="1"/>
  <c r="Y22" i="11" s="1"/>
  <c r="X21" i="11"/>
  <c r="Y21" i="11" s="1"/>
  <c r="X20" i="11"/>
  <c r="Y20" i="11" s="1"/>
  <c r="X19" i="11"/>
  <c r="Y19" i="11" s="1"/>
  <c r="S18" i="11"/>
  <c r="X18" i="11" s="1"/>
  <c r="Y18" i="11" s="1"/>
  <c r="X17" i="11"/>
  <c r="Y17" i="11" s="1"/>
  <c r="X16" i="11"/>
  <c r="Y16" i="11" s="1"/>
  <c r="X15" i="11"/>
  <c r="Y15" i="11" s="1"/>
  <c r="X14" i="11"/>
  <c r="Y14" i="11" s="1"/>
  <c r="O13" i="11"/>
  <c r="Q13" i="11"/>
  <c r="R13" i="11"/>
  <c r="T13" i="11"/>
  <c r="W13" i="11"/>
  <c r="R12" i="11"/>
  <c r="X12" i="11" s="1"/>
  <c r="Y12" i="11" s="1"/>
  <c r="X11" i="11"/>
  <c r="Y11" i="11" s="1"/>
  <c r="X10" i="11"/>
  <c r="Y10" i="11" s="1"/>
  <c r="X8" i="11"/>
  <c r="Y8" i="11" s="1"/>
  <c r="X7" i="11"/>
  <c r="Y7" i="11" s="1"/>
  <c r="X6" i="11"/>
  <c r="Y6" i="11" s="1"/>
  <c r="X5" i="11"/>
  <c r="Y5" i="11" s="1"/>
  <c r="R4" i="11"/>
  <c r="X4" i="11" s="1"/>
  <c r="Y4" i="11" s="1"/>
  <c r="S28" i="10"/>
  <c r="T28" i="10"/>
  <c r="X26" i="10"/>
  <c r="Y26" i="10" s="1"/>
  <c r="X25" i="10"/>
  <c r="Y25" i="10" s="1"/>
  <c r="X23" i="10"/>
  <c r="Y23" i="10" s="1"/>
  <c r="X22" i="10"/>
  <c r="Y22" i="10" s="1"/>
  <c r="X20" i="10"/>
  <c r="Y20" i="10" s="1"/>
  <c r="X16" i="10"/>
  <c r="Y16" i="10" s="1"/>
  <c r="X15" i="10"/>
  <c r="Y15" i="10" s="1"/>
  <c r="S14" i="10"/>
  <c r="X14" i="10" s="1"/>
  <c r="J11" i="10"/>
  <c r="J29" i="10" s="1"/>
  <c r="Q12" i="10"/>
  <c r="S12" i="10"/>
  <c r="T12" i="10"/>
  <c r="Q11" i="10"/>
  <c r="X11" i="10" s="1"/>
  <c r="Y11" i="10" s="1"/>
  <c r="X8" i="10"/>
  <c r="Y8" i="10" s="1"/>
  <c r="V7" i="10"/>
  <c r="X7" i="10" s="1"/>
  <c r="Y7" i="10" s="1"/>
  <c r="Q5" i="10"/>
  <c r="S5" i="10"/>
  <c r="T5" i="10"/>
  <c r="X4" i="10"/>
  <c r="J11" i="15"/>
  <c r="X12" i="14"/>
  <c r="Y12" i="14" s="1"/>
  <c r="X10" i="14"/>
  <c r="X8" i="14"/>
  <c r="Y8" i="14" s="1"/>
  <c r="X7" i="14"/>
  <c r="Y7" i="14" s="1"/>
  <c r="X6" i="14"/>
  <c r="Y6" i="14" s="1"/>
  <c r="X4" i="14"/>
  <c r="Y4" i="14" s="1"/>
  <c r="O3" i="14"/>
  <c r="X3" i="14" s="1"/>
  <c r="Y3" i="14" s="1"/>
  <c r="X5" i="12"/>
  <c r="Y5" i="12" s="1"/>
  <c r="X4" i="12"/>
  <c r="Y4" i="12" s="1"/>
  <c r="X3" i="12"/>
  <c r="Y3" i="12" s="1"/>
  <c r="X3" i="13"/>
  <c r="Y3" i="13"/>
  <c r="O2" i="19"/>
  <c r="X2" i="19" s="1"/>
  <c r="Y2" i="19" s="1"/>
  <c r="X30" i="20"/>
  <c r="Y30" i="20" s="1"/>
  <c r="Q7" i="20"/>
  <c r="X7" i="20" s="1"/>
  <c r="Y7" i="20" s="1"/>
  <c r="X9" i="20"/>
  <c r="Y9" i="20" s="1"/>
  <c r="X11" i="20"/>
  <c r="Y11" i="20" s="1"/>
  <c r="Q12" i="20"/>
  <c r="X12" i="20" s="1"/>
  <c r="Y12" i="20" s="1"/>
  <c r="X14" i="20"/>
  <c r="Y14" i="20" s="1"/>
  <c r="Q17" i="20"/>
  <c r="X17" i="20" s="1"/>
  <c r="Y17" i="20" s="1"/>
  <c r="X18" i="20"/>
  <c r="Y18" i="20" s="1"/>
  <c r="Q20" i="20"/>
  <c r="X20" i="20" s="1"/>
  <c r="Y20" i="20" s="1"/>
  <c r="Q23" i="20"/>
  <c r="X23" i="20" s="1"/>
  <c r="Y23" i="20" s="1"/>
  <c r="N27" i="20"/>
  <c r="P27" i="20"/>
  <c r="Q27" i="20"/>
  <c r="V27" i="20"/>
  <c r="W27" i="20"/>
  <c r="Q28" i="20"/>
  <c r="X28" i="20" s="1"/>
  <c r="Y28" i="20" s="1"/>
  <c r="X3" i="20"/>
  <c r="Y3" i="20" s="1"/>
  <c r="X3" i="18"/>
  <c r="Y3" i="18" s="1"/>
  <c r="X2" i="18"/>
  <c r="Y2" i="18" s="1"/>
  <c r="J50" i="16" l="1"/>
  <c r="Y4" i="10"/>
  <c r="X27" i="20"/>
  <c r="Y27" i="20" s="1"/>
  <c r="Y10" i="14"/>
  <c r="X13" i="11"/>
  <c r="Y13" i="11" s="1"/>
  <c r="X26" i="11"/>
  <c r="Y26" i="11" s="1"/>
  <c r="X12" i="10"/>
  <c r="Y12" i="10" s="1"/>
  <c r="X28" i="10"/>
  <c r="Y28" i="10" s="1"/>
  <c r="Y9" i="16"/>
  <c r="Z9" i="16" s="1"/>
  <c r="Y10" i="16"/>
  <c r="Z10" i="16" s="1"/>
  <c r="Y33" i="16"/>
  <c r="Z33" i="16" s="1"/>
  <c r="Y27" i="16"/>
  <c r="Z27" i="16" s="1"/>
  <c r="Y4" i="16"/>
  <c r="Z4" i="16" s="1"/>
  <c r="Y26" i="16"/>
  <c r="Z26" i="16" s="1"/>
  <c r="Z30" i="16"/>
  <c r="Y17" i="16"/>
  <c r="Z17" i="16" s="1"/>
  <c r="Y24" i="16"/>
  <c r="Z24" i="16" s="1"/>
  <c r="Y31" i="16"/>
  <c r="Z31" i="16" s="1"/>
  <c r="Y11" i="16"/>
  <c r="Z11" i="16" s="1"/>
  <c r="Y22" i="16"/>
  <c r="Z22" i="16" s="1"/>
  <c r="Z29" i="16"/>
  <c r="Y28" i="16"/>
  <c r="Z28" i="16" s="1"/>
  <c r="Y16" i="16"/>
  <c r="Z16" i="16" s="1"/>
  <c r="Y18" i="16"/>
  <c r="Z18" i="16" s="1"/>
  <c r="Y7" i="16"/>
  <c r="Z7" i="16" s="1"/>
  <c r="Y14" i="16"/>
  <c r="Z14" i="16" s="1"/>
  <c r="Y14" i="10"/>
  <c r="X5" i="10"/>
  <c r="Y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Jerica Blas</author>
  </authors>
  <commentList>
    <comment ref="J48" authorId="0" shapeId="0" xr:uid="{8E40ED6F-771B-E141-9DDE-80FCB2AF6388}">
      <text>
        <r>
          <rPr>
            <b/>
            <sz val="9"/>
            <color rgb="FF000000"/>
            <rFont val="Calibri"/>
            <family val="2"/>
          </rPr>
          <t>Jerica Blas:</t>
        </r>
        <r>
          <rPr>
            <sz val="9"/>
            <color rgb="FF000000"/>
            <rFont val="Calibri"/>
            <family val="2"/>
          </rPr>
          <t xml:space="preserve">
</t>
        </r>
        <r>
          <rPr>
            <sz val="9"/>
            <color rgb="FF000000"/>
            <rFont val="Calibri"/>
            <family val="2"/>
          </rPr>
          <t xml:space="preserve">Pending NCE
</t>
        </r>
      </text>
    </comment>
    <comment ref="J95" authorId="0" shapeId="0" xr:uid="{DDA0608A-11C2-AC45-85B9-8B36A026FB5D}">
      <text>
        <r>
          <rPr>
            <b/>
            <sz val="9"/>
            <color rgb="FF000000"/>
            <rFont val="Calibri"/>
            <family val="2"/>
          </rPr>
          <t>Jerica Blas:</t>
        </r>
        <r>
          <rPr>
            <sz val="9"/>
            <color rgb="FF000000"/>
            <rFont val="Calibri"/>
            <family val="2"/>
          </rPr>
          <t xml:space="preserve">
</t>
        </r>
        <r>
          <rPr>
            <sz val="9"/>
            <color rgb="FF000000"/>
            <rFont val="Calibri"/>
            <family val="2"/>
          </rPr>
          <t xml:space="preserve">pending extension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Jerica Blas</author>
  </authors>
  <commentList>
    <comment ref="I16" authorId="0" shapeId="0" xr:uid="{00000000-0006-0000-0300-000001000000}">
      <text>
        <r>
          <rPr>
            <b/>
            <sz val="9"/>
            <color rgb="FF000000"/>
            <rFont val="Calibri"/>
            <family val="2"/>
          </rPr>
          <t>Jerica Blas:</t>
        </r>
        <r>
          <rPr>
            <sz val="9"/>
            <color rgb="FF000000"/>
            <rFont val="Calibri"/>
            <family val="2"/>
          </rPr>
          <t xml:space="preserve">
</t>
        </r>
        <r>
          <rPr>
            <sz val="9"/>
            <color rgb="FF000000"/>
            <rFont val="Calibri"/>
            <family val="2"/>
          </rPr>
          <t xml:space="preserve">Pending NCE
</t>
        </r>
      </text>
    </comment>
    <comment ref="I63" authorId="0" shapeId="0" xr:uid="{00000000-0006-0000-0300-000002000000}">
      <text>
        <r>
          <rPr>
            <b/>
            <sz val="9"/>
            <color rgb="FF000000"/>
            <rFont val="Calibri"/>
            <family val="2"/>
          </rPr>
          <t>Jerica Blas:</t>
        </r>
        <r>
          <rPr>
            <sz val="9"/>
            <color rgb="FF000000"/>
            <rFont val="Calibri"/>
            <family val="2"/>
          </rPr>
          <t xml:space="preserve">
</t>
        </r>
        <r>
          <rPr>
            <sz val="9"/>
            <color rgb="FF000000"/>
            <rFont val="Calibri"/>
            <family val="2"/>
          </rPr>
          <t xml:space="preserve">pending extension
</t>
        </r>
      </text>
    </comment>
    <comment ref="M67" authorId="0" shapeId="0" xr:uid="{00000000-0006-0000-0300-000003000000}">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Jerica Blas</author>
  </authors>
  <commentList>
    <comment ref="V7" authorId="0" shapeId="0" xr:uid="{00000000-0006-0000-0B00-000001000000}">
      <text>
        <r>
          <rPr>
            <b/>
            <sz val="9"/>
            <color indexed="81"/>
            <rFont val="Calibri"/>
            <family val="2"/>
          </rPr>
          <t>Jerica Blas:</t>
        </r>
        <r>
          <rPr>
            <sz val="9"/>
            <color indexed="81"/>
            <rFont val="Calibri"/>
            <family val="2"/>
          </rPr>
          <t xml:space="preserve">
Tuition
</t>
        </r>
      </text>
    </comment>
  </commentList>
</comments>
</file>

<file path=xl/sharedStrings.xml><?xml version="1.0" encoding="utf-8"?>
<sst xmlns="http://schemas.openxmlformats.org/spreadsheetml/2006/main" count="5152" uniqueCount="1458">
  <si>
    <t>CNAS</t>
  </si>
  <si>
    <t>ACCOUNT NUMBER</t>
  </si>
  <si>
    <t>PROCESSING OFFICE</t>
  </si>
  <si>
    <t>TITLE</t>
  </si>
  <si>
    <t>DON</t>
  </si>
  <si>
    <t>UOG</t>
  </si>
  <si>
    <t>RCUOG</t>
  </si>
  <si>
    <t>UNIT  UOG</t>
  </si>
  <si>
    <t>Dr. Jim McConnell</t>
  </si>
  <si>
    <t>DOI</t>
  </si>
  <si>
    <t>Dr. Mari Marutani</t>
  </si>
  <si>
    <t>NSF</t>
  </si>
  <si>
    <t xml:space="preserve">GRANTOR  </t>
  </si>
  <si>
    <t>USDA</t>
  </si>
  <si>
    <t>USGS</t>
  </si>
  <si>
    <t>Dr. Austin Shelton</t>
  </si>
  <si>
    <t>ORSP</t>
  </si>
  <si>
    <t>CLASS</t>
  </si>
  <si>
    <t>DHHS</t>
  </si>
  <si>
    <t>Dr. Heidi San Nicolas</t>
  </si>
  <si>
    <t>USFWS</t>
  </si>
  <si>
    <t>UOG Student Technician for Guam Kingfisher</t>
  </si>
  <si>
    <t>SNHS</t>
  </si>
  <si>
    <t>3/19/2015</t>
  </si>
  <si>
    <t>4/29/2016</t>
  </si>
  <si>
    <t>10/5/2016</t>
  </si>
  <si>
    <t>9/6/2016</t>
  </si>
  <si>
    <t>9/18/2015</t>
  </si>
  <si>
    <t>10/1/2014</t>
  </si>
  <si>
    <t>12/31/2015</t>
  </si>
  <si>
    <t>8/28/2015</t>
  </si>
  <si>
    <t>2/13/2017</t>
  </si>
  <si>
    <t>10/1/2016</t>
  </si>
  <si>
    <t>10/1/2015</t>
  </si>
  <si>
    <t>WERI</t>
  </si>
  <si>
    <t>7/1/2016</t>
  </si>
  <si>
    <t>9/30/2018</t>
  </si>
  <si>
    <t>8/31/2018</t>
  </si>
  <si>
    <t>9/30/2019</t>
  </si>
  <si>
    <t>9/30/2017</t>
  </si>
  <si>
    <t>6/30/2017</t>
  </si>
  <si>
    <t>6/30/2019</t>
  </si>
  <si>
    <t>3/31/2018</t>
  </si>
  <si>
    <t>6/1/2016</t>
  </si>
  <si>
    <t>6/15/2017</t>
  </si>
  <si>
    <t>8/31/2020</t>
  </si>
  <si>
    <t>2/12/2019</t>
  </si>
  <si>
    <t>9/30/2014</t>
  </si>
  <si>
    <t>9/29/2019</t>
  </si>
  <si>
    <t>Renata Bordallo</t>
  </si>
  <si>
    <t>Bruce San Nicolas (PM)</t>
  </si>
  <si>
    <t>8/1/2014</t>
  </si>
  <si>
    <t>8/21/2014</t>
  </si>
  <si>
    <t>12/31/2017</t>
  </si>
  <si>
    <t>OIT</t>
  </si>
  <si>
    <t>Dr. Yvette Paulino</t>
  </si>
  <si>
    <t>Rommel Hildalgo</t>
  </si>
  <si>
    <t>5/2/2016</t>
  </si>
  <si>
    <t>9/29/2017</t>
  </si>
  <si>
    <t>8/1/2015</t>
  </si>
  <si>
    <t>9/1/2015</t>
  </si>
  <si>
    <t>Dr. Ross Miller</t>
  </si>
  <si>
    <t>1/1/2016</t>
  </si>
  <si>
    <t>7/1/2015</t>
  </si>
  <si>
    <t xml:space="preserve">CFDA # </t>
  </si>
  <si>
    <t>12.300</t>
  </si>
  <si>
    <t>30-1F-311004-R</t>
  </si>
  <si>
    <t>10.675</t>
  </si>
  <si>
    <t>11.417</t>
  </si>
  <si>
    <t xml:space="preserve">NOAA </t>
  </si>
  <si>
    <t>Dr. Laura Biggs</t>
  </si>
  <si>
    <t>30-1L-311055-R</t>
  </si>
  <si>
    <t xml:space="preserve">USDA </t>
  </si>
  <si>
    <t>7/1/2018</t>
  </si>
  <si>
    <t>30-1W-318003-R</t>
  </si>
  <si>
    <t>30-2F-315022-R</t>
  </si>
  <si>
    <t>30-1F-315027-P</t>
  </si>
  <si>
    <t>30-1L-311013-P</t>
  </si>
  <si>
    <t>30-1F-311001-S</t>
  </si>
  <si>
    <t>30-2K-311036-R</t>
  </si>
  <si>
    <t>30-2F-311043-R</t>
  </si>
  <si>
    <t>30-2F-311044-R</t>
  </si>
  <si>
    <t>30-2F-311039-R</t>
  </si>
  <si>
    <t>30-1F-311026-R</t>
  </si>
  <si>
    <t>10-30-360004-P</t>
  </si>
  <si>
    <t xml:space="preserve">NIH </t>
  </si>
  <si>
    <t>NIH</t>
  </si>
  <si>
    <t>30-1F-311021-R</t>
  </si>
  <si>
    <t>30-2F-311040-P</t>
  </si>
  <si>
    <t>8/1/2016</t>
  </si>
  <si>
    <t>Dr. Peter Houk</t>
  </si>
  <si>
    <t>Dr. John Peterson</t>
  </si>
  <si>
    <t>Dr. Bob Barber</t>
  </si>
  <si>
    <t>Dr. Rachel Leon Guerrero</t>
  </si>
  <si>
    <t>Dr. John Jenson</t>
  </si>
  <si>
    <t>Dr. James McConnell</t>
  </si>
  <si>
    <t>Dr. Alicja Wiecko</t>
  </si>
  <si>
    <t>Allison Rutter</t>
  </si>
  <si>
    <t xml:space="preserve">Dr. John Jenson </t>
  </si>
  <si>
    <t>Else Demeulenaere</t>
  </si>
  <si>
    <t>Dr. Terry Donaldson</t>
  </si>
  <si>
    <t>Dr. Laurie Raymundo</t>
  </si>
  <si>
    <t>Cathleen Moore-Linn</t>
  </si>
  <si>
    <t>30-1F-315008-R</t>
  </si>
  <si>
    <t>63-2F-413428-R</t>
  </si>
  <si>
    <t>6/30/2016</t>
  </si>
  <si>
    <t>9/30/2020</t>
  </si>
  <si>
    <t>3/1/2016</t>
  </si>
  <si>
    <t>63-2K-433052-R</t>
  </si>
  <si>
    <t>63-2K-433054-R</t>
  </si>
  <si>
    <t>63-2K-433055-R</t>
  </si>
  <si>
    <t>63-1K-433001-R</t>
  </si>
  <si>
    <t>63-1K-433002-R</t>
  </si>
  <si>
    <t>63-1K-433003-R</t>
  </si>
  <si>
    <t>63-1K-433011-R</t>
  </si>
  <si>
    <t>63-1K-433026-R</t>
  </si>
  <si>
    <t>63-1K-433031-R</t>
  </si>
  <si>
    <t>63-1K-433033-R</t>
  </si>
  <si>
    <t>63-1K-433036-R</t>
  </si>
  <si>
    <t>7/31/2017</t>
  </si>
  <si>
    <t>USDOE</t>
  </si>
  <si>
    <t>84.042A</t>
  </si>
  <si>
    <t>84.047A</t>
  </si>
  <si>
    <t>84.044A</t>
  </si>
  <si>
    <t>9/1/2016</t>
  </si>
  <si>
    <t>8/31/2017</t>
  </si>
  <si>
    <t>63-2H-453017-P</t>
  </si>
  <si>
    <t>90DD0014-05-00</t>
  </si>
  <si>
    <t>63-1F-413012-R</t>
  </si>
  <si>
    <t>DOD</t>
  </si>
  <si>
    <t>SBPA</t>
  </si>
  <si>
    <t>A. Enriquez, B. Hertslet</t>
  </si>
  <si>
    <t>SBA</t>
  </si>
  <si>
    <t>SBAHQ-17-B-0025</t>
  </si>
  <si>
    <t>Casey Jeszenka</t>
  </si>
  <si>
    <t>EMSS</t>
  </si>
  <si>
    <t>64-1F-453404-P</t>
  </si>
  <si>
    <t>64-2F-453426-P</t>
  </si>
  <si>
    <t>Professional Development for State Performance Plan &amp; Technical Support for Special Education Part B</t>
  </si>
  <si>
    <t>10/24/2016</t>
  </si>
  <si>
    <t xml:space="preserve">Violence Againts Women Prevention Program (VAWPP).  VAW (Office of Violence Against Women)  </t>
  </si>
  <si>
    <t>PTAC-DLA (Defense Logistics Agency)</t>
  </si>
  <si>
    <t>N40192-16-2-8000</t>
  </si>
  <si>
    <t>N40192-15-2-8001</t>
  </si>
  <si>
    <t>N40192-14-2-8002</t>
  </si>
  <si>
    <t>30-1L-311048-R</t>
  </si>
  <si>
    <t>7/31/2020</t>
  </si>
  <si>
    <t>30-1F-315031-P</t>
  </si>
  <si>
    <t>NASA</t>
  </si>
  <si>
    <t>30-2F-315011-R</t>
  </si>
  <si>
    <t>30-1F-315029-R</t>
  </si>
  <si>
    <t>30-1K-311008-R</t>
  </si>
  <si>
    <t>9/30/2016</t>
  </si>
  <si>
    <t>30-1L-311049-R</t>
  </si>
  <si>
    <t>30-1F-315007-R</t>
  </si>
  <si>
    <t>30-2F-315020-R</t>
  </si>
  <si>
    <t>30-1F-315032-R</t>
  </si>
  <si>
    <t>12/31/2018</t>
  </si>
  <si>
    <t>30-2F-315023-R</t>
  </si>
  <si>
    <t>NA140AR4170116</t>
  </si>
  <si>
    <t>30-2F-315024-R</t>
  </si>
  <si>
    <t>7/25/2016</t>
  </si>
  <si>
    <t>9/29/2018</t>
  </si>
  <si>
    <t>30-2F-311037-R</t>
  </si>
  <si>
    <t>1/1/2021</t>
  </si>
  <si>
    <t>Serianthes 2</t>
  </si>
  <si>
    <t>30-1F-311050-R</t>
  </si>
  <si>
    <t>30-1F-311047-R</t>
  </si>
  <si>
    <t>30-1F-311052-R</t>
  </si>
  <si>
    <t>12/31/2019</t>
  </si>
  <si>
    <t xml:space="preserve">Dr. Jim McConnell  </t>
  </si>
  <si>
    <t>30-2F-311019-R</t>
  </si>
  <si>
    <t>5/30/2018</t>
  </si>
  <si>
    <t>MISC</t>
  </si>
  <si>
    <t>30-2W-318007-R</t>
  </si>
  <si>
    <t>30-1W-318010-P</t>
  </si>
  <si>
    <t>5/24/2017</t>
  </si>
  <si>
    <t>5/23/2020</t>
  </si>
  <si>
    <t>SBDC Guam</t>
  </si>
  <si>
    <t>Dr. Andrea Blas</t>
  </si>
  <si>
    <t>Serianthes</t>
  </si>
  <si>
    <t>Dr. Gary Denton</t>
  </si>
  <si>
    <t>Dr. Joseph Rouse</t>
  </si>
  <si>
    <t>Dr. Mark Lander</t>
  </si>
  <si>
    <t>Dr. Nathan Habana</t>
  </si>
  <si>
    <t>Dr. Francisca Obispo</t>
  </si>
  <si>
    <t>SUB-R</t>
  </si>
  <si>
    <t>GRANT AMOUNT</t>
  </si>
  <si>
    <t>SALARIES (FACULTY)</t>
  </si>
  <si>
    <t>SALARIES (STAFF)</t>
  </si>
  <si>
    <t>SALARIES (STUDENTS)</t>
  </si>
  <si>
    <t>FRINGE BENEFITS</t>
  </si>
  <si>
    <t>TRAVEL/TRAINING</t>
  </si>
  <si>
    <t>CONTRACTUAL</t>
  </si>
  <si>
    <t>SUPPLIES</t>
  </si>
  <si>
    <t>EQUIPMENT</t>
  </si>
  <si>
    <t>OTHER</t>
  </si>
  <si>
    <t>INDIRECTS</t>
  </si>
  <si>
    <t>TAP-Guam-2015-5</t>
  </si>
  <si>
    <t>CRIGU15</t>
  </si>
  <si>
    <t>Provide outreach and awareness about the affect climate change has on coral reefs</t>
  </si>
  <si>
    <t>NNX16AJ68A</t>
  </si>
  <si>
    <t>Dr. Tammy Mildenstein</t>
  </si>
  <si>
    <t>To conduct surveys for Mariana Fruit Bats at AAFB, provide analysis on effects aircrafts over flights on the behavior of fruit bats, update fruit bat management plan</t>
  </si>
  <si>
    <t>NA15NOS4190218</t>
  </si>
  <si>
    <t>To characterize the current status of Guam's shoreline by selecting and mapping priority beaches and assessing current and archived data to conduct a shoreline analysis</t>
  </si>
  <si>
    <t>Dr. John Peterson
Dr. Romina King</t>
  </si>
  <si>
    <t>Maria Kottermiar</t>
  </si>
  <si>
    <t>G15AC00525</t>
  </si>
  <si>
    <t>Updates to the National Hydrography Dataset and Watershed Boundary Dataset</t>
  </si>
  <si>
    <t>To conduct a phylogenetic study of the Serianthes genus which will clarify the degree of cryptic diversity within the genus and will allow to generate recommended conservation strategies for the genus in the region</t>
  </si>
  <si>
    <t>MA120069</t>
  </si>
  <si>
    <t>To advance the science of climate change in the US jurisdictuions of the Pacific by focusing on the understanding of climate impacts so that decision makers may have the best available information for mitigating and adapting to the impacts of climate change</t>
  </si>
  <si>
    <t>To conduct surveys for rare plants that are being considered for listing as threatened or endangered under the Endangered Species Act</t>
  </si>
  <si>
    <t>30-1F-311002-R
30-2F-311002-R</t>
  </si>
  <si>
    <t>Offer the local community direct assistance through energy auditing and analysis, renewable energy site assessments, and green building certification consulting</t>
  </si>
  <si>
    <t>To integrate and apply research, extension and education activities to sustain and develop island environments while integrating knowledge and cultural perspectives of the island's people</t>
  </si>
  <si>
    <t>To monitor, conserve, maintain and outplant Serianthes at AAFB</t>
  </si>
  <si>
    <t>2U54CA143728-16A1
5U54CA143728-07</t>
  </si>
  <si>
    <t>To collect health information related to the lifestyle, environmental and biologial factors from two generations of families living on Guam</t>
  </si>
  <si>
    <t>Subcontract providing labor, material, supplies, tools and supervision to perform work for CMS</t>
  </si>
  <si>
    <t>To continue to develop the cancer research capability and competitiveness of faculty at UOG; further develop forcus of UHCC research  on cancer health disparities for Pacific Islanders; continue rasing awareness of cancer and cancer prevention in multiethic communities, increase the number of cancer and biomedical science reserachers of Pacific Islanders ancestry in the US by continuing our successful MA, MS and PhD training programs.</t>
  </si>
  <si>
    <t>6/29/2018</t>
  </si>
  <si>
    <t>65-1W-364001-R</t>
  </si>
  <si>
    <t>10/1/16</t>
  </si>
  <si>
    <t>9/30/17</t>
  </si>
  <si>
    <t>KA1141</t>
  </si>
  <si>
    <t xml:space="preserve">To process jurisdiction cases with USAPI </t>
  </si>
  <si>
    <t>N/A</t>
  </si>
  <si>
    <t>To aid in the reduction of cancer morbidity and mortality on Guam by providing basic island-wide population-based center incidence data for the facilitation of cancer research and the evaluation of cancer control programs</t>
  </si>
  <si>
    <t>To support cancer patients on Guam</t>
  </si>
  <si>
    <t>CC Network Design: Upgrading the UOG Network to Connect to Internet2 and Create a Science DMZ</t>
  </si>
  <si>
    <t>30-1N-311057-T</t>
  </si>
  <si>
    <t>5/31/2019</t>
  </si>
  <si>
    <t>30-1F-311058-R</t>
  </si>
  <si>
    <t>NA17NOS4820074</t>
  </si>
  <si>
    <t>08/01/2017</t>
  </si>
  <si>
    <t>01/31/2019</t>
  </si>
  <si>
    <t>P16AC01681/  P14AC00637</t>
  </si>
  <si>
    <t>MCT Expending Science</t>
  </si>
  <si>
    <t>MCT-NOAA-201601</t>
  </si>
  <si>
    <t>H8080090008
P13AC01394</t>
  </si>
  <si>
    <t>DOI/FWS</t>
  </si>
  <si>
    <t>DOI/NPS</t>
  </si>
  <si>
    <t>SP4800-16-2-1709</t>
  </si>
  <si>
    <t>7/31/18</t>
  </si>
  <si>
    <t>8/1/17</t>
  </si>
  <si>
    <t>To provide procurement &amp; technical assistance to local businesses doing business w/the Fed. Gov't.</t>
  </si>
  <si>
    <t>Develop Guam specific curricula and certification and certification exams for radon measurement and radon mitigation to address the development of skill areas of students</t>
  </si>
  <si>
    <t>DHHS /ACL</t>
  </si>
  <si>
    <t>University Center for Excellence in Developmental Disabilities (UCEDD)</t>
  </si>
  <si>
    <t>State Grant for Assistive Technology</t>
  </si>
  <si>
    <t>DHHS/ACL</t>
  </si>
  <si>
    <t>CDC/AMCHP</t>
  </si>
  <si>
    <t>3/31/18</t>
  </si>
  <si>
    <t>HERSA/EHDI</t>
  </si>
  <si>
    <t>Guam Child Link Early Hearing Detection Intervention (GLC-EHDI)</t>
  </si>
  <si>
    <t>63-1H-453019-N</t>
  </si>
  <si>
    <t>7/1/17</t>
  </si>
  <si>
    <t>6/30/20</t>
  </si>
  <si>
    <t>9/1/12</t>
  </si>
  <si>
    <t>3/31/20</t>
  </si>
  <si>
    <t>Project EPICS (Educating Pacific Island Clinicians in Speech-Language Pathology)</t>
  </si>
  <si>
    <t>8/14/20</t>
  </si>
  <si>
    <t>PIMI</t>
  </si>
  <si>
    <t>Guam Options for Alternative Loans for Assistive Technology (GOAL-AT)</t>
  </si>
  <si>
    <t>63-34-456002-P</t>
  </si>
  <si>
    <t>10/1/9</t>
  </si>
  <si>
    <t>Get Guam Teleworking (GGT)</t>
  </si>
  <si>
    <t>Professional Development for State Performance Plan &amp; Technical Support for Special Education Part C (Early Intervention)</t>
  </si>
  <si>
    <t>65-2W-454003-P</t>
  </si>
  <si>
    <t>Priority Area B: Special Education – Local Education Agency (LEA) Applications, State Performance Plan (SPP), Annual Performance Report (APR), Local Performance Plan (LPP) Technical Assistance.</t>
  </si>
  <si>
    <t>66-2W-455001-N-5</t>
  </si>
  <si>
    <t>1/1/17</t>
  </si>
  <si>
    <t>12/31/17</t>
  </si>
  <si>
    <t>FSM National DOE</t>
  </si>
  <si>
    <t>Republic of Palau Ministry of Education, Special Education</t>
  </si>
  <si>
    <t>2016-31200-0-6057</t>
  </si>
  <si>
    <t>2016-31100-0-6057</t>
  </si>
  <si>
    <t>2016-70004-25719</t>
  </si>
  <si>
    <t>2016-70004-25720</t>
  </si>
  <si>
    <t>14-41100-05301</t>
  </si>
  <si>
    <t>2015-41510-05301</t>
  </si>
  <si>
    <t>2016-41510-05301</t>
  </si>
  <si>
    <t>NI17EFNEPXXXG0190</t>
  </si>
  <si>
    <t>13-DG-11052021-210</t>
  </si>
  <si>
    <t>NOAA</t>
  </si>
  <si>
    <t>AWARD NUMBER</t>
  </si>
  <si>
    <t>Development of online training modules for individuals on Guam preparing for Arborist certification</t>
  </si>
  <si>
    <t>Collection of regional data for Forest Inventory Analysis (FSM), staff training to build sustainable local capacity for project activities</t>
  </si>
  <si>
    <t>Collection of regional data for Forest Inventory Analysis (Marshall Islands), staff training to build sustainable local capacity for project activities</t>
  </si>
  <si>
    <t>U24MD011201</t>
  </si>
  <si>
    <t>16-DG-11052021-223</t>
  </si>
  <si>
    <t>2016-JV-11261919-005</t>
  </si>
  <si>
    <t>2016-JV-11261919-111</t>
  </si>
  <si>
    <t>F14AP00535</t>
  </si>
  <si>
    <t>To deliver professional, high quality, individualized business advising and provide technical assistance to existing small businesses and pre-venture entrepreneurs in Saipan, Yap Chuuk, Palau and Kosrae</t>
  </si>
  <si>
    <t>To deliver professional, high quality, individualized business advising and provide technical assistance to existing small businesses and pre-venture entrepreneurs in Guam</t>
  </si>
  <si>
    <t>Comprehensive Long-Term Monitoring at Permanent Sites on Guam</t>
  </si>
  <si>
    <t>W16-0900-001</t>
  </si>
  <si>
    <t>12/11/15</t>
  </si>
  <si>
    <t>To perform regular monitoring of a suite of coral reef ecosystem health parameters at high priority sites around Guam</t>
  </si>
  <si>
    <t>Predicting extreme tide events to inform shallow reef restoration community restoration and management in Guam</t>
  </si>
  <si>
    <t>Dr. Laurie Raymundo
David Burdick</t>
  </si>
  <si>
    <t>To build on previous research and management efforts to develop a comprehensive region-wide management and restoration approach for sensitive and critical shallow reef flat fish habitats to the island's economy and ecology</t>
  </si>
  <si>
    <t>Establishing a fisheries-dependent monitoring network across Micronesia to maximize economic benefits, food security, and ecosystem health</t>
  </si>
  <si>
    <t>TBA</t>
  </si>
  <si>
    <t>NA17NMF4270230</t>
  </si>
  <si>
    <t>9/1/17</t>
  </si>
  <si>
    <t>8/31/17</t>
  </si>
  <si>
    <t xml:space="preserve">Dr. Peter Houk
</t>
  </si>
  <si>
    <t>To establish a fisheries-dependent monitoring network across Micronesia to maximize economic benefits, food security, and ecosystem health</t>
  </si>
  <si>
    <t>NOAA/MCT</t>
  </si>
  <si>
    <t>To lead coral reef monitoring activities across RMI, Kosrae, FSM, Pohnpei, Chuuk and Yap</t>
  </si>
  <si>
    <t>Contract w/ DC&amp;A</t>
  </si>
  <si>
    <t>To install six conduits in the Tepungan, Guam reef flat, land two new submarie fiber-optic cables in two of the conduits for the SEA-US telecummunication system linking with Guam, Hawaii &amp; California</t>
  </si>
  <si>
    <t>Coral mitigation plan for the GTA conduit instalation and Southeast Asia-US (SEA-US) cable landings in Piti, Guam</t>
  </si>
  <si>
    <t>To assist NPS in the recovery and management of remaining staghorn Acropora stands following coral losses to bleaching events</t>
  </si>
  <si>
    <t>Building staghorn coral community resilience and facilitating post-bleaching recovery</t>
  </si>
  <si>
    <t>FWS/F16AP00404</t>
  </si>
  <si>
    <t>Natural resources condiction assessment: War in the Pacific National Historic Park and American Memorial Park</t>
  </si>
  <si>
    <t>To collaborate with NPS to conduct a survey to describe the natural resources present in the War in the Pacific National Historical Park (Guam) and the American Memorial Park (Saipan)</t>
  </si>
  <si>
    <t>Education and Training of Local Workforce through Tissue Culture Production of Healthy Banana on Guam</t>
  </si>
  <si>
    <t>12-25-B1665</t>
  </si>
  <si>
    <t>4/7/14</t>
  </si>
  <si>
    <t>140867050-153</t>
  </si>
  <si>
    <t>Conduct demonstrations and develop curriculum for field agent training, work on market development for ag industry, adapt and expand new farmer training curriculum to reach new and nontraditional clients</t>
  </si>
  <si>
    <t>WR161600-005</t>
  </si>
  <si>
    <t>To suppress existing level of orchid's diseases by influx of local healthy plants to the local floral market. To eliminate or significantly reduce Asian import, which is a major sorce of viral diseases on Guam</t>
  </si>
  <si>
    <t>30-1F-315028-R</t>
  </si>
  <si>
    <t>200591-00001-307</t>
  </si>
  <si>
    <t>To coordinate collaboration among agricultural support agencies/NGOs in the delivery of educational programs by providing support in collaborative curriculum development, demonstrations and workshop delivery</t>
  </si>
  <si>
    <t>Seven Trees, Seven Practices: Demonstrating Agroforestry in the Western Pacific</t>
  </si>
  <si>
    <t>140867036-94</t>
  </si>
  <si>
    <t>Identify five producers and develop micro plot farm plans, propagate plant materials, distribute assist in established microplots. Formalize mentorship relationship between initial and secondary farmer cohort. Assist through training secondary cohort established microplots. Develop and deliver sevon workshops around key agroforestry practices and fat to fruit trees for the general public.</t>
  </si>
  <si>
    <t>WR171600-001</t>
  </si>
  <si>
    <t>9/29/19</t>
  </si>
  <si>
    <t>Production of bananas resistant to banana welt disease through tissue culture methods</t>
  </si>
  <si>
    <t>DOI/BSP (PT)</t>
  </si>
  <si>
    <t>W16-0900-002</t>
  </si>
  <si>
    <t>11/9/15</t>
  </si>
  <si>
    <t>9/30/18</t>
  </si>
  <si>
    <t>Dr. Sharam Khosrowpanah</t>
  </si>
  <si>
    <t>RCUOG/UOG</t>
  </si>
  <si>
    <t>To assess the hydrological condictions of the Toguan watershed in Southern Guam</t>
  </si>
  <si>
    <t>USDA-APHIS</t>
  </si>
  <si>
    <t>17-DG-11052021-230</t>
  </si>
  <si>
    <t>1/1/18</t>
  </si>
  <si>
    <t>30-2F-311024-R</t>
  </si>
  <si>
    <t>17-8515-1909-CA</t>
  </si>
  <si>
    <t>8/31/18</t>
  </si>
  <si>
    <t>30-1F-311066-R</t>
  </si>
  <si>
    <t>12/31/18</t>
  </si>
  <si>
    <t>To convene a course in tropical forest ecology for personnel involved with forestry on Guam, the CNMI and Micronesia</t>
  </si>
  <si>
    <t>17-8515-131-CA</t>
  </si>
  <si>
    <t>17-8515-1686-CA</t>
  </si>
  <si>
    <t>9/1/2017</t>
  </si>
  <si>
    <t>Conduct surveillance of the major nursery insect pests that pose a threat to the commercial and hotel plant nurseries on Guam</t>
  </si>
  <si>
    <t>USDA-APHIS-PPQ</t>
  </si>
  <si>
    <t>17-8515-1200-CA</t>
  </si>
  <si>
    <t>Surveillance of selected citrus pests on Guam and in the CNMI with emphasis on the Asian citrus psyllid and citrus green disease with its vectors</t>
  </si>
  <si>
    <t>17-8515-2028-CA</t>
  </si>
  <si>
    <t>Locate and stamp domestic and feral honeybee hives for varroa mite and other diseases. Remove samples of insects from each hive, preserve for shipping to USDA where disease and mites will be evaluated. Maintain a local database of pests, predators, parasites and diseases found in honeybee hives on Guam</t>
  </si>
  <si>
    <t>Palm Commodity Survey</t>
  </si>
  <si>
    <t>6/30/18</t>
  </si>
  <si>
    <t>Andrea Blas</t>
  </si>
  <si>
    <t>To conduct a survey of coconut palms for overall health, especially in regard to infection with Tinangaja disease and damage from coconut rhinoceros beetles</t>
  </si>
  <si>
    <t>16-8515-1837-CA</t>
  </si>
  <si>
    <t>Importation of Puccinia spegazzini rust from Fiji to control Mikania micrantha. Will be released into the field in Guam and CNMI</t>
  </si>
  <si>
    <t>Mitigation of Little Fire Ant, Wasmannia auropunctata, on Guam and Surveillance of the coconut rhinoceros beetle, Orcytes rhinoceros, in the CNMI</t>
  </si>
  <si>
    <t>14-DG-11052021-232</t>
  </si>
  <si>
    <t>Selected little fire ant infestation on Guam will be surveyed and treated with approved chemical insecticides; Coconut rhinoceros beetle traps will be installed and monitored at possible sites of entry on Saipan, Tinian and Rota</t>
  </si>
  <si>
    <t>Coconut Viroid Diagnostics</t>
  </si>
  <si>
    <t>16-8130-0703-CA</t>
  </si>
  <si>
    <t>To support research to streamline sample collection and transport between islands, and to improve plant disease diagnostic services at UOG for all islands of the Western Pacific region</t>
  </si>
  <si>
    <t xml:space="preserve">Educational Talent Search </t>
  </si>
  <si>
    <t>Student Support Services</t>
  </si>
  <si>
    <t>Upward Bound</t>
  </si>
  <si>
    <t>P044A160616-17</t>
  </si>
  <si>
    <t>P042A151096-17</t>
  </si>
  <si>
    <t>P047A130686-17</t>
  </si>
  <si>
    <t>Nofertary Fofana</t>
  </si>
  <si>
    <t>ReShone L. Moore</t>
  </si>
  <si>
    <t>Andrea Wilson</t>
  </si>
  <si>
    <t>Identifies and assists individuals from disadvantaged backgrounds who have the potental to succeed in higher education</t>
  </si>
  <si>
    <t>Provides opportunities for academic development, assists students with basic college requirements and motivates students toward the successful completion of their post-secondary education</t>
  </si>
  <si>
    <t>Provides fundamental support to participants in their preparation for college entrance</t>
  </si>
  <si>
    <t>NI17HMFPXXXXG045</t>
  </si>
  <si>
    <t>15-41100-05301</t>
  </si>
  <si>
    <t>16-41100-05301</t>
  </si>
  <si>
    <t>61-1F/2G-213/223/233P</t>
  </si>
  <si>
    <t>61-2F/1G-213/223/233P</t>
  </si>
  <si>
    <t>Dr. Racheal Leon Guerrero</t>
  </si>
  <si>
    <t>Jim Hollyer</t>
  </si>
  <si>
    <t>EFNEP</t>
  </si>
  <si>
    <t>30-1W-318009-P</t>
  </si>
  <si>
    <t>Guam Project LAUNCH</t>
  </si>
  <si>
    <t>DHHS/DPHSS (PT)</t>
  </si>
  <si>
    <t>NA16NOS0120024
Z10129876</t>
  </si>
  <si>
    <t>5/31/17</t>
  </si>
  <si>
    <t>Manage the maintenance and deployment of a water quality sensor in Pago Bay, Guam, hire students to assist with analysis of data for publications and public presentation.</t>
  </si>
  <si>
    <t>1002627 (SA)</t>
  </si>
  <si>
    <t>3/31/17</t>
  </si>
  <si>
    <t>G14AC00103</t>
  </si>
  <si>
    <t>Potental impacts of adaptive response to climate change for DoD installations in Guam (SERDP Project)</t>
  </si>
  <si>
    <t>Collaborating with University of Texas at Austin to characterize the chemestry of Guam's groundwater to better understand groundwater dynamics</t>
  </si>
  <si>
    <t>DOJ/Office on Violence
Against Women(PT)</t>
  </si>
  <si>
    <t>2014-WA-AX-0005</t>
  </si>
  <si>
    <t>Coral reef assessment at the Guam National Wildlife Refuge Retidian Unit</t>
  </si>
  <si>
    <t>F17AP00118</t>
  </si>
  <si>
    <t>1/1/2017</t>
  </si>
  <si>
    <t>Ford Motor
Company</t>
  </si>
  <si>
    <t>GG 2016 &amp; 2016
Bond/GWA(PT)</t>
  </si>
  <si>
    <t>2013 Bond PW 05-03/
2016 Bond PW 05-10</t>
  </si>
  <si>
    <t>DOI/USGS</t>
  </si>
  <si>
    <t xml:space="preserve">DOI/USGS </t>
  </si>
  <si>
    <t>Santa Rita Spring: Hydrogeologic Evaluation to Determine Engineering Design Options for Rehabilitation</t>
  </si>
  <si>
    <t>Guam Water Kids: Protecting Guam's Fresh Water/Prutehi I Hanom Freskon Guahan</t>
  </si>
  <si>
    <t>GDOE (PT)</t>
  </si>
  <si>
    <t>Universal Newborn Hearing Screening &amp; Intevention (RIKOHI/FitMe)</t>
  </si>
  <si>
    <t>Positive Behavioral Intervention &amp; Supports (PBIS)</t>
  </si>
  <si>
    <t>Provides infromation of assistive technology (AT) to individuals with developmental disabilities and their families.</t>
  </si>
  <si>
    <t>Provides loans for the purcahse of equipment of Telework to individuals with disabilities, who are residents of Guam</t>
  </si>
  <si>
    <t>DOE/GDOE (PT)</t>
  </si>
  <si>
    <t>HHS/DPHSS (PT)</t>
  </si>
  <si>
    <t>2/1/17</t>
  </si>
  <si>
    <t>20160537-00 (PO)</t>
  </si>
  <si>
    <t>84.027A</t>
  </si>
  <si>
    <t>To train students to conduct sustainability practices on the farm</t>
  </si>
  <si>
    <t>Alicja Wiecko</t>
  </si>
  <si>
    <t>To provide professional development and technical support for SpEd Part B</t>
  </si>
  <si>
    <t>PCS 2016-021</t>
  </si>
  <si>
    <t>To provide technical assistance and consultative services to the Special Education Program of the Ministry of Education on capacity building to improve operational activities and services to children and youth with disabilities</t>
  </si>
  <si>
    <t>PO 20170003-00</t>
  </si>
  <si>
    <t>64-2F-453422-N</t>
  </si>
  <si>
    <t>PO20170005-00</t>
  </si>
  <si>
    <t>84.403A</t>
  </si>
  <si>
    <t>NUR3DD000093-01-00</t>
  </si>
  <si>
    <t>Construct and implement a composting facility to make use of the waste sludge, rather than sending it to the landfill. This objective will be met by construction of composting bins made of local materials, teaching the proper operating methods, and establishing the protocol for monitoring the quality of the compost produced at the facility.</t>
  </si>
  <si>
    <t>G16AP00048-0002
2017GU319B</t>
  </si>
  <si>
    <t>To evaluate the mercury sequestering capacity of the embayment sediments and extend the fish monitoring program for the emperor fish in the area</t>
  </si>
  <si>
    <t>Exploring the natural limits of the Northern Guam Lense Aquifer: Phase 4-model implementation, determining ultimate yield in the basal and parabasal zones</t>
  </si>
  <si>
    <t xml:space="preserve">Objective of the study will be to determine the basis of  design for the Rehabilitation of Santa Rita Springs as an additional surface water source </t>
  </si>
  <si>
    <t>64-1F-163401-P</t>
  </si>
  <si>
    <t>GBAWC17-0076</t>
  </si>
  <si>
    <t>Guam Affordable Care Act Maternal, Infant, &amp; Early Childhood Home Visiting Program (Project Bisita I Familia)</t>
  </si>
  <si>
    <t>Project Management</t>
  </si>
  <si>
    <t>To assemble Advisory Councils Guam, FSM and CNMI and provide regular venues by which WERI evaluates and revises its goals and priorities for all of its programs, including the USGS 104B program</t>
  </si>
  <si>
    <t>To provide information on water related issues to diverse groups ranging from research scientists, water resources related agency personnel, science teachers, students and concerned citizens of Guam, FSM and CNMI through reports WERI's website and travel to professional forums.</t>
  </si>
  <si>
    <t>G16AP00048-0002
2017GU309B</t>
  </si>
  <si>
    <t>To conduct research in response to the critical needs expressed at the Advisory Council Meetings on spatial and temporal trends in levels of contaminants in Guam's groundwater, as well as the need for continuous baseline studies on levels of nitrogenous compounds, etc. with respect to time and location. This project will address the need for evaluation of pilot studies of inovative waste water treatment units as alternatives to conventional septic tanks for indvidual homes</t>
  </si>
  <si>
    <t>Dr. Nathan Habana
Dr. John Jenson</t>
  </si>
  <si>
    <t>PFOS Trend Monitoring in a Guam Drinking Water Production Well</t>
  </si>
  <si>
    <t>To examine PFOS levels in well A-23 (in Guam) on a monthly basis, over a one year period, in order to get a better handle on projected attenuation rates. Rainfall data from within the cathment area will be collected over the same timeframe</t>
  </si>
  <si>
    <t xml:space="preserve">63-1K-433032-R
</t>
  </si>
  <si>
    <t>G16AP00048-0002
2017GU310B</t>
  </si>
  <si>
    <t>Determination of Rainfall Erosivity Factors to Selected Islands in CNMI</t>
  </si>
  <si>
    <t>To develop Universal Soil Loss Equation (USLE) average annual rainfall factor (Rfactor) values for the islands of the CNMI</t>
  </si>
  <si>
    <t>Professional Workshop Series on Guam Drinking Water Production Well</t>
  </si>
  <si>
    <t>G16AP00048-0002
2017GU318B</t>
  </si>
  <si>
    <t xml:space="preserve">G16AP00048-0002
2017GU312B
</t>
  </si>
  <si>
    <t>To develop and deliver a series of short-course workshops to local water resource professionals and educators to include an accurate and up-to-date understanding of the essential characteristics of the island's aquifer and the factors that must be considered to frame and implement sustainable managment practices</t>
  </si>
  <si>
    <t>Digital Atlas Yap - A Geospatial Map and Data Server for Resource Management</t>
  </si>
  <si>
    <t>G16AP00048-0002
2017GU315B</t>
  </si>
  <si>
    <t>To create a robust, comprehensive and versatile geospatial data server to support all geospatial aspects of planning, disaster risk reduction and emergency response, resource management, sustainable development, research and modeling, conservation and education on Yap</t>
  </si>
  <si>
    <t>Beneficial use of Piggery Waste  with a Focus on Energy Production</t>
  </si>
  <si>
    <t>This project addresses the critical needs expressed at the Advisory Council Meeting to conduct research on the impact of pig pens on public health and to investigate the development of innovative pig waste disposal systems that emphasize 'value added' benefits (e.g., methane gas collection and use). This project will potentially address the need to refine educational materials on relevant aspects of environmental stewardship, including innovative ideas such as the implementation of portable pig pens</t>
  </si>
  <si>
    <t>G16AP00048
2016GU303B</t>
  </si>
  <si>
    <t>Real-Time investigation of the impacts of the 2015-16 El Niño on water resources in the FSM</t>
  </si>
  <si>
    <t>G16AP00048
2016GU304B</t>
  </si>
  <si>
    <t>To provide FSM water resources managers, regulators with (1) a comprehensive meteorological and gydrological assessment of each of the FSM states of the adverse impacts of the 2015-16 strong El Niño event, (2) detailed metrics and inventory of impacts to be expected during the course of a strong El Niño, (3) feedback on the efficancy of actions taken by local water resource meneters in advance of the anticipated drought of 2016, (4) bounds and hard numbers describing rainfall distribution and impacts to be used as senarios for modeling studies of island watersheds, groundwater and other sources of portable water, and (5) a packaged seminar/outreach module dedicated to each of the FSM states regarding the effects to water recourse of the damaging weather events associated with the 2015-16 El Niño event</t>
  </si>
  <si>
    <t>G16AP00048
2016GU300B</t>
  </si>
  <si>
    <t>To study the impact fo the anticipated El Niño drought on Saipan, with a focus on the impacts of the municipal water system thorught the year. Physical properties of the wells, such as the well head and water quality measurements will be monitored. This project will aslo document impacts to the extraction and distribution of components of the municipal watersystem through the anticipated dry year</t>
  </si>
  <si>
    <t>G16AP00048
2016GU301B</t>
  </si>
  <si>
    <t>Building the Resilience of Communities and their Ecosystems to the Impacts of Climaate Change thorugh an Integrated Natural Resource Management, Education and Outreach campaign in Pohnpei, FSM (Imp Clim Chg Pho)</t>
  </si>
  <si>
    <t>Support for "Guam Water Kids: Protecting Guam's FreshWater" educational program by enhancing website, conducting workshop for teachers and youth leaders, and developing community outreach materials</t>
  </si>
  <si>
    <t>G16AP00048-0002
2017GU311B</t>
  </si>
  <si>
    <t xml:space="preserve">To continue meeting standard basic research and educational needs, as identified by WERI's Guam Advisory Council meetings and Groundwater Research Development Group, to provide basic and essential support for all statistical, geospatial, and modeling studies of Guam's water resources. </t>
  </si>
  <si>
    <t xml:space="preserve">Real-time investigation of the impacts of the 2015-16 El Nio on water resources in the CNMI </t>
  </si>
  <si>
    <t xml:space="preserve">Impact of Stormwater from Constructed Wetland in the American Memorial Park, Saipan, CNMI, on Receiving Waters and Fisheries Resources </t>
  </si>
  <si>
    <t>S403A150005</t>
  </si>
  <si>
    <t>Professional consultative services to provide technical assistance/support for the development and implementation of the State System Improvement Plan</t>
  </si>
  <si>
    <t>(1) to support the implementation of the PBIS framework at six GDOE high schools and special program sites, (2) to build capacity of GDOE to sustain the implementation of the PICS Framework in all schools, (3) to increase the knowledge skills and dispositions of the GDOE PBIS external coaches, (4) to support the initial implementation of the PBIS Framework in up to five participating PNP schools</t>
  </si>
  <si>
    <t>65-2W-454006-P</t>
  </si>
  <si>
    <t>DHHS/HRSA</t>
  </si>
  <si>
    <t>2H61MC24883-06-00</t>
  </si>
  <si>
    <t>To provide interdisciplinary disability studies (IDS) curriculum leading towards CEDDERS Disabilities Studies Certificate for university students, GovGuam employees and the community; and incorporate IDS lectures/practicum/demonstrations into existing University coursework</t>
  </si>
  <si>
    <t>1701GUSGAT 2017-1</t>
  </si>
  <si>
    <t>Facilitate, implement the MA in Speech-Language Pathology for up to twenty-one (21) participants from Guam, CNMI and America Samoa. The degree will be offered online and on-site by SJSU-CDS faculty in collaboration with UOG-CEDDERS</t>
  </si>
  <si>
    <t>63-34-4560001-P</t>
  </si>
  <si>
    <t>USDOE/GDOE</t>
  </si>
  <si>
    <t>To provide technical assistance and consulting services to FSM Department of Education</t>
  </si>
  <si>
    <t>Technical Assistance and Consultative Services to the Special Education Program of the Ministry of Education on capacity building to improve Program’s Operational activities and services to Children and Youth with Disabilities</t>
  </si>
  <si>
    <t>I Pinangon Campus Suicide Prevention Program</t>
  </si>
  <si>
    <t>Consolidate Grant - State Systemic Improvement Project (CG-SSIP)</t>
  </si>
  <si>
    <t>To raise community awareness of environmental and social vulnerabilities to successfully implement a disaster risk management and climate change adaption process that draws and builds on the knowledge and capacity of the local community</t>
  </si>
  <si>
    <t>OCON676-16-03</t>
  </si>
  <si>
    <t>USGS and WERI will provide GWA and its contractors with technical assistance for constructing and testing new deep-monitor wells, rehabilitating existing monitor wells and for defining sustainment requirements for the OEA-funded NGLA Monitoring system Expansion Project and the associated expansion of the Guam Comprehensive Water Moitoring Program</t>
  </si>
  <si>
    <t>12/31/20</t>
  </si>
  <si>
    <t>To create a campus free from sexual assault, domestic 
violence, dating violence, and stalking</t>
  </si>
  <si>
    <t>Increasing the Kinguam through the maintenance of Guam kingfisher cages and to catch lizartds to feed the Kingfisher birds</t>
  </si>
  <si>
    <t>To examine the possible establishment of aphidiid parasitoids released on Guam and Saipan in 1998 against pestiferous crop  aphids</t>
  </si>
  <si>
    <t>Collaborating with Guam DOAg to educate the public, students, and indstry how to produce disease-free banana plants via propagation</t>
  </si>
  <si>
    <t>To conduct surveillance of invasive ants on Guam and the CNMI islands of Saipan, Tinian and Rota with emphasis on the little fire ant, Wasmannia auropunctata in areas most likely to harbor invasive ants</t>
  </si>
  <si>
    <t>Develop curriculum materials, conducts training in the trainer workshop and maintains field demonstrations for training use. The program facilitates multi-agency project planning to support agricultural and food proffessionals in their efforts to address the identified local and regional needs</t>
  </si>
  <si>
    <t>To support the propagation of Serianthes nelsonii (micropropagation, plant nursery, out planting, plant care)</t>
  </si>
  <si>
    <t>To characterize benthic structure and coral assemblages within the Refuge's boundaries. To provide an inventory of all coral species found in the fore reef and reef flats to include presence/absence of ESA listed corals, determine the presence/absence of coral disease, coral bleaching or predation upon corals</t>
  </si>
  <si>
    <t>To support the impementation of an advanced campus network with a 10 gigabit per second network connection between UOG and internet2.</t>
  </si>
  <si>
    <t>Provide funds to help create a sustainable CIS by hiring an associate director and other staff to apply for more grant funding</t>
  </si>
  <si>
    <t>To leverage Guam's unique marine biodiversity to enhance research and education capacity while improving understanding of how coral reefs respond to environmental stress and climate change</t>
  </si>
  <si>
    <t>To build core strength needed to develop competative research and technology development methods and actividies for the solution of scientific and technical problems of importance to NASA and Guam</t>
  </si>
  <si>
    <t>To update the National Hydrography Dataset and the Watershed Boundary Dataset information covering the island of Saipan</t>
  </si>
  <si>
    <t>Dr. Iain Twaddle</t>
  </si>
  <si>
    <t>CEDDERS</t>
  </si>
  <si>
    <t>To provide comprehensive school, community and campus-based suicide prevention and erly intervention services targeting youth primarily between the ages of 10 and 24, including: (1) gatekeeper training for University students, (2) outreach to at-risk populations on campus, (3) educational seminars on suicide prevention and (4) depression and alcohol screening camps</t>
  </si>
  <si>
    <t>C17-0600-430</t>
  </si>
  <si>
    <t>H027A140005-15A</t>
  </si>
  <si>
    <t>Act Early Ambassador Award</t>
  </si>
  <si>
    <t>5/1/16</t>
  </si>
  <si>
    <t>4/30/18</t>
  </si>
  <si>
    <t>To serve as an Act Early Amabassador.  (UOG is just a Fiscal Agent)</t>
  </si>
  <si>
    <t>Documentation and Use of Follow-up Diagnostic and Intervention Services Data through the maintenance and /enhancement of the Early Hearing Detection and Intervention Information System.</t>
  </si>
  <si>
    <t>Provide technical assistance and supports in the development, implementation, and monitoring of the home visiting pilot program consistent with Guam's Early Childhood Home Visiting updated plan to support the training and technical assistance, data system, &amp; Continuous Quality Improvement.</t>
  </si>
  <si>
    <t>5H79SM061559</t>
  </si>
  <si>
    <t>To promote the wellness of young children from birth to eight years by addressing the physical, social, emotional, cognitive and behavioral aspects of their development.</t>
  </si>
  <si>
    <t>To develop statewide comprehensive and coordinated programs and systems of care targeted towards ensuring that newborns and infants are receiving appropriate and timely services including screening, evaluation, diagnosis, and early intervention.</t>
  </si>
  <si>
    <t>9/1/15</t>
  </si>
  <si>
    <t>MOA</t>
  </si>
  <si>
    <t>Provides loans to qualified individuals with disabilities, who are residents of Guam for the purcahse of assistive technology equipment</t>
  </si>
  <si>
    <t>Provides professional Development for State Performance Plan and Technical Support for Special Education Part C-Guam Early Intervention Systems (GEIS)</t>
  </si>
  <si>
    <t>1/31/18</t>
  </si>
  <si>
    <t>Learn the Sign Act Early (LTSAE)</t>
  </si>
  <si>
    <t>To increase parent-engaged developmental monitoring by promoting the adoption and integration of LTSAE materials and training resources into programs statewide systems that serve young children and their families.</t>
  </si>
  <si>
    <t>CONTRACT#135003-OC</t>
  </si>
  <si>
    <t>Provide  on-site technical assstance and support to the PSS Specials Education and Early Intervention programs for the development, implementation and evaluation of prioritized improvement activities identified in the CNMI PSS State Performance Plan  and State Systemic Improvement Plan (SSIP).</t>
  </si>
  <si>
    <t>TOTAL GRANT FUNDING:</t>
  </si>
  <si>
    <t>30-1F-315035-R</t>
  </si>
  <si>
    <t>NIH/UH (PT)</t>
  </si>
  <si>
    <t>GEPA (PT)</t>
  </si>
  <si>
    <t>NOAA/BSP (PT)</t>
  </si>
  <si>
    <t>10/1/17</t>
  </si>
  <si>
    <t>9/30/19</t>
  </si>
  <si>
    <t>Dr. John A. Peterson
Dr. Austin Shelton
Dr. Cheryl Sangueza
Else Demeulenaere</t>
  </si>
  <si>
    <t>Addresses the grand challenge of increasing Native Pacific Islander representation in the nation's STEM enterprise, particularly in the environmental sciences. The project also addresses culturally-relevant and place-based research as the framework to attract, engage and refrain Native Pacific Islander students in STEM disciplines</t>
  </si>
  <si>
    <t>DOI/NPS (PT)</t>
  </si>
  <si>
    <t>Acronyms</t>
  </si>
  <si>
    <t>ACL</t>
  </si>
  <si>
    <t>Administration of Community Living</t>
  </si>
  <si>
    <t>AMCHP</t>
  </si>
  <si>
    <t>Association of Maternal &amp; Child Healt Programs</t>
  </si>
  <si>
    <t>AMS-USDA</t>
  </si>
  <si>
    <t>Agriculture Marketing Service - United States Department of Agriculture</t>
  </si>
  <si>
    <t>CDC</t>
  </si>
  <si>
    <t>Center for Disease Control and Prevention</t>
  </si>
  <si>
    <t>CESU</t>
  </si>
  <si>
    <t>Cooperative Ecosystem Study Unit</t>
  </si>
  <si>
    <t>CIS</t>
  </si>
  <si>
    <t>Center for Island Sustainability</t>
  </si>
  <si>
    <t>Department of Health and Human Services</t>
  </si>
  <si>
    <t>DOAg</t>
  </si>
  <si>
    <t>Department of Administration Guam</t>
  </si>
  <si>
    <t>Department of Defense</t>
  </si>
  <si>
    <t>DOE</t>
  </si>
  <si>
    <t>Department of Education</t>
  </si>
  <si>
    <t>Department of Interior</t>
  </si>
  <si>
    <t>DOJ</t>
  </si>
  <si>
    <t>Department of Justice</t>
  </si>
  <si>
    <t>Department of the Navy</t>
  </si>
  <si>
    <t>DPHSS</t>
  </si>
  <si>
    <t>Expanded Food and Nutrition Education Program</t>
  </si>
  <si>
    <t>EHDI</t>
  </si>
  <si>
    <t xml:space="preserve">Early Hearing Detection &amp; Intervention </t>
  </si>
  <si>
    <t>Federated States of Micronesia National Department of Education</t>
  </si>
  <si>
    <t>GBHWC</t>
  </si>
  <si>
    <t>Guam Behavioral Health and Wellness Center</t>
  </si>
  <si>
    <t>GDL</t>
  </si>
  <si>
    <t>Guam Department of Education</t>
  </si>
  <si>
    <t>GDOE</t>
  </si>
  <si>
    <t>Health Resources and Services Administration</t>
  </si>
  <si>
    <t>MCT</t>
  </si>
  <si>
    <t>Micronesian Conservation Trust</t>
  </si>
  <si>
    <t>National Aeronautics and Space Administration</t>
  </si>
  <si>
    <t>NCI</t>
  </si>
  <si>
    <t>National Cancer Institute</t>
  </si>
  <si>
    <t>National Institutes of Health</t>
  </si>
  <si>
    <t>National Oceanic and Atmospheric Administration</t>
  </si>
  <si>
    <t>NPS</t>
  </si>
  <si>
    <t>National Park Services</t>
  </si>
  <si>
    <t>National Science Foundation</t>
  </si>
  <si>
    <t>Pacific Islands Micro Credit Institude</t>
  </si>
  <si>
    <t>PT</t>
  </si>
  <si>
    <t>Pass-Through</t>
  </si>
  <si>
    <t>RCUH</t>
  </si>
  <si>
    <t>Research Corporation University of Hawaii</t>
  </si>
  <si>
    <t>Small Business Administration</t>
  </si>
  <si>
    <t>UH</t>
  </si>
  <si>
    <t>University of Hawaii</t>
  </si>
  <si>
    <t>USDA/UW</t>
  </si>
  <si>
    <t>USDA-NIFA</t>
  </si>
  <si>
    <t>UW</t>
  </si>
  <si>
    <t>University of Wyoming</t>
  </si>
  <si>
    <t>START DATE</t>
  </si>
  <si>
    <t>END DATE</t>
  </si>
  <si>
    <t>PRINCIPAL INVESTIGATOR</t>
  </si>
  <si>
    <t>PROJECT DESCRIPTION</t>
  </si>
  <si>
    <t>N40192-17-2-8006</t>
  </si>
  <si>
    <t>9/21/17</t>
  </si>
  <si>
    <t>3/20/19</t>
  </si>
  <si>
    <t>Dr. Tom Schils</t>
  </si>
  <si>
    <t>To develop an Integrated Natural Resource management Plan (INRMP) to determine the temporal and spatial distribution and hanitat use of the scalloped hammerhead shark with the Apra Harbor and Orote Peninsula nearshore waters located at Naval Base Guam vicinity</t>
  </si>
  <si>
    <t>N40192-17-2-8005</t>
  </si>
  <si>
    <t>9/22/17</t>
  </si>
  <si>
    <t>3/21/19</t>
  </si>
  <si>
    <t>This project will implement management techniques to develop and implement a work plan for biomonitoring as outlined in the Conservation Measures/Biosecurity program</t>
  </si>
  <si>
    <t>N40192-17-2-8002</t>
  </si>
  <si>
    <t>This project will monitor and manage the condition of the Little Fire Ant (LFA) located at Andersen South, Guam, Joint Region Marianas Area of Responsibility. An Andersen South LFA De-Limiting Survey work plan will be developed utilizing Hawaii ant lab standards and survey methodologies outlined in the Pacific Ant Project (PAP) training manual</t>
  </si>
  <si>
    <t>N40192-17-2-8001</t>
  </si>
  <si>
    <t>9/19/17</t>
  </si>
  <si>
    <t>3/18/19</t>
  </si>
  <si>
    <t>This project will monitor and manage the condition of C. micronesia on Andersen Air Force Base by developing and/or implementing cost-effective conservation methods within five existing, fenced one-acre Cycads Management plots</t>
  </si>
  <si>
    <t>N40192-17-2-8007</t>
  </si>
  <si>
    <t>This project will evaluate and monitor performance standards for the Cetti Bay Reforestation Project, in order to comply with the special conditions contained in the ACOE permit. The performance standards consist of measureable environmental conditions. The environmental conditions to be monitored include: estimating survivorship/mortality of planted trees, estimate the amount of stream sides with a buffer of planted trees, measure acreage of annually burned trees, estimate tree survivorship in burned areas, estimate stream turbidity, estimate sediment loads in Cetti watershed streams, estimate and evaluate soil loss and erosion rates in Cetti bay watershed</t>
  </si>
  <si>
    <t>N40192-17-2-8003</t>
  </si>
  <si>
    <t>This project will implement management techniques to restore vegetation at the HMU to a native forest habitat for the benefits of native flora and fauna following recommendations outlined in the 2017 Resoration Plan for the HMU, Par IV - Vegetation Management Plan and other relative plans or reports</t>
  </si>
  <si>
    <t>80NSSC17M0052</t>
  </si>
  <si>
    <t>Dr. John A. Peterson</t>
  </si>
  <si>
    <t>Develop a geodatabase of Miconesian reef habitats by encorporating remotely sensed data on ocean and land conditions such as SST turbidity, productivity (chlorophyll concentration), salinity, sedimentation, bathymetry and geomorphology. Based on this geodatabase, we will build a predictive model that will forcast reef fish spawning aggregation sights and their spatial changes overtime</t>
  </si>
  <si>
    <t>Developing Interactive Distance Education Curricula for Delivery with or without the Internet</t>
  </si>
  <si>
    <t>2017-70004-27276</t>
  </si>
  <si>
    <t>30-2F-311078-R</t>
  </si>
  <si>
    <t>30-2F-311073-R</t>
  </si>
  <si>
    <t>30-2F-31174-R</t>
  </si>
  <si>
    <t>N40192-18-2-8000</t>
  </si>
  <si>
    <t>7/25/19</t>
  </si>
  <si>
    <t>N40192-18-2-8004</t>
  </si>
  <si>
    <t>8/24/18</t>
  </si>
  <si>
    <t>2/23/20</t>
  </si>
  <si>
    <t>Frances Castro</t>
  </si>
  <si>
    <t>N40192-18-2-8002</t>
  </si>
  <si>
    <t>N40192-18-2-8001</t>
  </si>
  <si>
    <t xml:space="preserve">This project will implement INRMP action strategies to determine the spatial and temporal abundance, distribution, and habitat use of sea turtles in the nearshore waters surrounding FDM. </t>
  </si>
  <si>
    <t>This project will provide information on fish assemblages and composition around FDM.</t>
  </si>
  <si>
    <t>This project will implement management techniques and methodologies to monitor nesting sea turtles on AAFB including nest protection and educational outreach as outlined in the 2017 Sea Turtle Management Plan for Andersen Air Force Base, the US Fish and Wildlife Service (USFWS) Recommendations and Best Management Practices for the conservation of green turtles, and the USFWS Endangered Species Recovery Permit TE-84876A-1 for AAFB. .</t>
  </si>
  <si>
    <t>NA18OAR4170077</t>
  </si>
  <si>
    <t>2/1/18</t>
  </si>
  <si>
    <t>1/31/2022</t>
  </si>
  <si>
    <t>Sundance</t>
  </si>
  <si>
    <t>30-2W-318013-P</t>
  </si>
  <si>
    <t>4/30/19</t>
  </si>
  <si>
    <t>10/10/18</t>
  </si>
  <si>
    <t>Dr. George Fiedler</t>
  </si>
  <si>
    <t>Water Wells Salvage and Transplantation of Federally Listed Species at (P103), AAFB</t>
  </si>
  <si>
    <t>Salvage Transplantation of Federally Listed Plant Species at Northwest Field in the Construction Footprint of the Live Fire Training Range Complex (P-715), AAFB</t>
  </si>
  <si>
    <t>30-2W-318014-P</t>
  </si>
  <si>
    <t>30-2W-318015-P</t>
  </si>
  <si>
    <t>12/20/17</t>
  </si>
  <si>
    <t>6/19/19</t>
  </si>
  <si>
    <t>10/29/17</t>
  </si>
  <si>
    <t>30-2F-315040-P</t>
  </si>
  <si>
    <t>Dr. Romina King</t>
  </si>
  <si>
    <t>64-2F-403407-R</t>
  </si>
  <si>
    <t>7/30/19</t>
  </si>
  <si>
    <t>CRB Biocontrol</t>
  </si>
  <si>
    <t>30-1F-311059-R</t>
  </si>
  <si>
    <t>OIA</t>
  </si>
  <si>
    <t>30-1F-311064-R</t>
  </si>
  <si>
    <t>Dr. Aubrey Moore</t>
  </si>
  <si>
    <t>Forest Ecology Course</t>
  </si>
  <si>
    <t>Interactive DE</t>
  </si>
  <si>
    <t>30-1F-311069-R</t>
  </si>
  <si>
    <t xml:space="preserve">30-1H-315039-R
</t>
  </si>
  <si>
    <t>6/30/17</t>
  </si>
  <si>
    <t>Science Internship</t>
  </si>
  <si>
    <t>30-2F-311014-P</t>
  </si>
  <si>
    <t>IMLS</t>
  </si>
  <si>
    <t>Herbarium Improvemenet</t>
  </si>
  <si>
    <t>30-2F-311075-R</t>
  </si>
  <si>
    <t>Dr. Xiao Wei</t>
  </si>
  <si>
    <t>Tissue Culture</t>
  </si>
  <si>
    <t>30-2F-311076-R</t>
  </si>
  <si>
    <t>NFWF</t>
  </si>
  <si>
    <t>12/20/18</t>
  </si>
  <si>
    <t>4/14/16</t>
  </si>
  <si>
    <t>30-2F-315041-R</t>
  </si>
  <si>
    <t>30-2F-315042-R</t>
  </si>
  <si>
    <t>Cancer Center Partnership</t>
  </si>
  <si>
    <t>30-2F-315045-R</t>
  </si>
  <si>
    <t>Biocontrol of CRB-G</t>
  </si>
  <si>
    <t>30-2L-311079-R</t>
  </si>
  <si>
    <t>30-2F-311042-R</t>
  </si>
  <si>
    <t>DPHSS# 5602A181700DF209280</t>
  </si>
  <si>
    <t>MOU/D16AP00023</t>
  </si>
  <si>
    <t>3/14/16</t>
  </si>
  <si>
    <t>5101H170930EI115280</t>
  </si>
  <si>
    <t>64-2F-403409-P</t>
  </si>
  <si>
    <t>7/17/17</t>
  </si>
  <si>
    <t>11/30/18</t>
  </si>
  <si>
    <t xml:space="preserve">USDOE/San Jose State University </t>
  </si>
  <si>
    <t>3/31/19</t>
  </si>
  <si>
    <t>4/1/17</t>
  </si>
  <si>
    <t>AMERICORPS</t>
  </si>
  <si>
    <t>65-1W-454003-P</t>
  </si>
  <si>
    <t>GWA</t>
  </si>
  <si>
    <t>Developing Hydrological Data</t>
  </si>
  <si>
    <t>65-2W-434005-R-5</t>
  </si>
  <si>
    <t>1/31/19</t>
  </si>
  <si>
    <t>66-2W-455003-N</t>
  </si>
  <si>
    <t>63-1/2H-453015-P</t>
  </si>
  <si>
    <t>CDC/AUCD</t>
  </si>
  <si>
    <t>63-1N-433050-R-5</t>
  </si>
  <si>
    <t>2/28/19</t>
  </si>
  <si>
    <t>2/28/18</t>
  </si>
  <si>
    <t>2/28/2019</t>
  </si>
  <si>
    <t>12/29/17</t>
  </si>
  <si>
    <t>12/31/19</t>
  </si>
  <si>
    <t>SBDC Saipan</t>
  </si>
  <si>
    <t>SBDC Yap</t>
  </si>
  <si>
    <t>SBDC Chuuk</t>
  </si>
  <si>
    <t>SBDC Palau</t>
  </si>
  <si>
    <t>SBDC Kosrae</t>
  </si>
  <si>
    <t>63-2G-043051-P</t>
  </si>
  <si>
    <t>63-2G-043052-P</t>
  </si>
  <si>
    <t>63-2F-043010/12-P</t>
  </si>
  <si>
    <t>12/931/19</t>
  </si>
  <si>
    <t>63-2G-043053-P</t>
  </si>
  <si>
    <t>63-2G-043054-P</t>
  </si>
  <si>
    <t>63-2G-043055-P</t>
  </si>
  <si>
    <t>63-2G-043057-P</t>
  </si>
  <si>
    <t>9/25/14</t>
  </si>
  <si>
    <t>8/31/19</t>
  </si>
  <si>
    <t>2/1/2015</t>
  </si>
  <si>
    <t>66.600</t>
  </si>
  <si>
    <t xml:space="preserve">30-2F-311028-35/51-R
</t>
  </si>
  <si>
    <t>5/1/19</t>
  </si>
  <si>
    <t>30-1/2F-311070-R</t>
  </si>
  <si>
    <t>30-1/2F-311071-R</t>
  </si>
  <si>
    <t>5/21/19</t>
  </si>
  <si>
    <t>30-1/2F-311072-R</t>
  </si>
  <si>
    <t>Sea Grant Program - EXTENDED (4-YR)</t>
  </si>
  <si>
    <t>30-2F-311007-R      63-2F-203003-R</t>
  </si>
  <si>
    <r>
      <rPr>
        <b/>
        <sz val="12"/>
        <color theme="1"/>
        <rFont val="Times New Roman"/>
        <family val="1"/>
      </rPr>
      <t>NSF INCLUDES</t>
    </r>
    <r>
      <rPr>
        <sz val="12"/>
        <color theme="1"/>
        <rFont val="Times New Roman"/>
        <family val="1"/>
      </rPr>
      <t xml:space="preserve"> DDLP: Growing STEM engagement and participation in Native Pacific Islander communities</t>
    </r>
  </si>
  <si>
    <r>
      <rPr>
        <b/>
        <sz val="12"/>
        <color theme="1"/>
        <rFont val="Times New Roman"/>
        <family val="1"/>
      </rPr>
      <t>Sea Grant</t>
    </r>
    <r>
      <rPr>
        <sz val="12"/>
        <color theme="1"/>
        <rFont val="Times New Roman"/>
        <family val="1"/>
      </rPr>
      <t xml:space="preserve"> Program (4-YR)</t>
    </r>
  </si>
  <si>
    <t xml:space="preserve">30-2N-311067-R         30-2N-311068-R </t>
  </si>
  <si>
    <r>
      <rPr>
        <b/>
        <sz val="12"/>
        <color theme="1"/>
        <rFont val="Times New Roman"/>
        <family val="1"/>
      </rPr>
      <t>Mariana Eight-spot Butterfly</t>
    </r>
    <r>
      <rPr>
        <sz val="12"/>
        <color theme="1"/>
        <rFont val="Times New Roman"/>
        <family val="1"/>
      </rPr>
      <t xml:space="preserve"> at Northwest Field in the Live Fire Training Range Complex, AAFB, Guam</t>
    </r>
  </si>
  <si>
    <r>
      <rPr>
        <b/>
        <sz val="12"/>
        <color theme="1"/>
        <rFont val="Times New Roman"/>
        <family val="1"/>
      </rPr>
      <t xml:space="preserve">EPSCoR </t>
    </r>
    <r>
      <rPr>
        <sz val="12"/>
        <color theme="1"/>
        <rFont val="Times New Roman"/>
        <family val="1"/>
      </rPr>
      <t>Ecosystems Track 1</t>
    </r>
  </si>
  <si>
    <r>
      <t xml:space="preserve">Monitoring </t>
    </r>
    <r>
      <rPr>
        <b/>
        <sz val="12"/>
        <color theme="1"/>
        <rFont val="Times New Roman"/>
        <family val="1"/>
      </rPr>
      <t>Mariana Fruit Bats</t>
    </r>
    <r>
      <rPr>
        <sz val="12"/>
        <color theme="1"/>
        <rFont val="Times New Roman"/>
        <family val="1"/>
      </rPr>
      <t xml:space="preserve"> on AAFB</t>
    </r>
  </si>
  <si>
    <r>
      <rPr>
        <b/>
        <sz val="12"/>
        <color theme="1"/>
        <rFont val="Times New Roman"/>
        <family val="1"/>
      </rPr>
      <t>Pacific Regional Center Cancer Registry</t>
    </r>
    <r>
      <rPr>
        <sz val="12"/>
        <color theme="1"/>
        <rFont val="Times New Roman"/>
        <family val="1"/>
      </rPr>
      <t xml:space="preserve"> (PRCCR)</t>
    </r>
  </si>
  <si>
    <t>30-1N-311023/60-63-R</t>
  </si>
  <si>
    <t>30-2F-311054-R</t>
  </si>
  <si>
    <t>7/25/18</t>
  </si>
  <si>
    <t>30-1/2K-315013-R</t>
  </si>
  <si>
    <t>30-1H-315036-38-R</t>
  </si>
  <si>
    <t>65-1W-454011-P</t>
  </si>
  <si>
    <t>10/1/2017</t>
  </si>
  <si>
    <t>C18-1700-030</t>
  </si>
  <si>
    <t>65-2W-454010-N</t>
  </si>
  <si>
    <t>01/01/18</t>
  </si>
  <si>
    <t>(1) PBIS State Consultant Services building capacity to PBIS Coaches as State Facilitators for the School Wide Information System.  Build Capacity of PBIS coaches to plan, deliver, and evaluate professional development activities relative to the implementation and expansion of the PBIS Framework across the district.</t>
  </si>
  <si>
    <t>90DDUC0064-01-01</t>
  </si>
  <si>
    <t>6/30/2023</t>
  </si>
  <si>
    <t>1801GUSGAT</t>
  </si>
  <si>
    <t>63-1H-453017-P</t>
  </si>
  <si>
    <t>CHILDREN'S HOSPITAL LOS ANGELES</t>
  </si>
  <si>
    <t>Project LEND -ZIKV</t>
  </si>
  <si>
    <t>64-2F-453429-P</t>
  </si>
  <si>
    <t>TGF010929-C</t>
  </si>
  <si>
    <t>07/01/2017</t>
  </si>
  <si>
    <t>06/30/2018</t>
  </si>
  <si>
    <t>Expand capacity of health professionals to provide appropriate interdisciplinary care for children with congenital ZIKV infection.  Increase access to pediatric specialty care for children with congenital ZIKV infection.</t>
  </si>
  <si>
    <t>CO#17-010</t>
  </si>
  <si>
    <t>CNMI PSS IDEA Part B&amp;C 2017-CO#01</t>
  </si>
  <si>
    <t>CNAS/AES</t>
  </si>
  <si>
    <t>"</t>
  </si>
  <si>
    <t>Dr. Ares</t>
  </si>
  <si>
    <t>The specific purpose of Hatch Multistate funding is to conduct research by institutions within a State and by institutions in multiple States to solve problems that concern more than one State. This grant is used to support continuing agricultural research at colleges eligible to receive funds</t>
  </si>
  <si>
    <t>Multi-State FY2017</t>
  </si>
  <si>
    <t>Dr. Rachael Leon Guerrero</t>
  </si>
  <si>
    <t>Multi-State FY2018</t>
  </si>
  <si>
    <t>N118HMFPXXXXG001</t>
  </si>
  <si>
    <t>HATCH FY2016</t>
  </si>
  <si>
    <t xml:space="preserve">The purpose of Hatch Act funding is to conduct agricultural research programs at State Agricultural Experiment Stations in the 50 States, the District of Columbia, and the Insular Areas. </t>
  </si>
  <si>
    <t>HATCH FY2017</t>
  </si>
  <si>
    <t>N117HFPXXXXXG029</t>
  </si>
  <si>
    <t>HATCH FY2018</t>
  </si>
  <si>
    <t>N118HFPXXXXXG040</t>
  </si>
  <si>
    <t>CARIPAC - DEG</t>
  </si>
  <si>
    <t>2015-70004-24218</t>
  </si>
  <si>
    <t>Dr. McConnell</t>
  </si>
  <si>
    <t>Distant Education grant for  the IHE in Insular Areas</t>
  </si>
  <si>
    <t xml:space="preserve">CARIPAC RIIA </t>
  </si>
  <si>
    <t>Enhancing career opportunites in agricultural sciences for Pacific Islanders.</t>
  </si>
  <si>
    <t xml:space="preserve">Cycad Health Project </t>
  </si>
  <si>
    <t>Dr. Marler</t>
  </si>
  <si>
    <t>Monitor the plant population census and structure on Guam and Rota; Survey the persistence of the cascading insect threats and ecosystem changes in Guam and Rota; conduct one expedition to Palau to observe Cycas micronesia populations in the Rock Islands</t>
  </si>
  <si>
    <t>Tomato Survey</t>
  </si>
  <si>
    <t>61-2F-243048-R</t>
  </si>
  <si>
    <t>16-8515-1742-CA</t>
  </si>
  <si>
    <t>Dr.Miller</t>
  </si>
  <si>
    <t>Survey of Tomato for Ralstonia solancearum race 3 biovar and Tuta absoluta in Guam</t>
  </si>
  <si>
    <t>61-1F-243054-R</t>
  </si>
  <si>
    <t>AP17PPQFO000C369</t>
  </si>
  <si>
    <t>Understanding Ecosystem</t>
  </si>
  <si>
    <t>61-1F-243055-R</t>
  </si>
  <si>
    <t>17-DG-11052021-217</t>
  </si>
  <si>
    <t>Expand ongoing research w/in Guam, Rota &amp; Yap permanent Cycas micronesia; determin plant-soil-feedback traits of Zamia Floridana; determin leaf litter quality in comparison to other sympatric species</t>
  </si>
  <si>
    <t>Impact of Empty Forest</t>
  </si>
  <si>
    <t>DEB-1257433</t>
  </si>
  <si>
    <t>Dr. Miller</t>
  </si>
  <si>
    <t>To understand how whole-ecosystem loss of vertebrae dispersers impacts structure and diversity in tropical forests</t>
  </si>
  <si>
    <t>NSF/UH</t>
  </si>
  <si>
    <t>LSAMP</t>
  </si>
  <si>
    <t>61-2F-243422-R</t>
  </si>
  <si>
    <t>HI 120009/H1236</t>
  </si>
  <si>
    <t>Provides for internship where UOG STEM faculty mentor undergraduate students' individual research projects in STEM fields.</t>
  </si>
  <si>
    <t>USDA/UCDavis</t>
  </si>
  <si>
    <t>61-2F-243432-R</t>
  </si>
  <si>
    <t>201603794-09</t>
  </si>
  <si>
    <t>Dr. Moore</t>
  </si>
  <si>
    <t>Western Plant Diagnostic Network</t>
  </si>
  <si>
    <t>USDA/UH</t>
  </si>
  <si>
    <t>Irrigation Scheduling Farmland</t>
  </si>
  <si>
    <t>61-1F-243428-R</t>
  </si>
  <si>
    <t>69-3A75-17-54</t>
  </si>
  <si>
    <t>Dr. Golabi</t>
  </si>
  <si>
    <t>Real Time Optimization of Irrigation scheduling for farmlands in HI, GU and American Samoa</t>
  </si>
  <si>
    <t>NREUP</t>
  </si>
  <si>
    <t>61-2N-203403-R</t>
  </si>
  <si>
    <t>3-8-710-890</t>
  </si>
  <si>
    <t>National Research Experience for Undergraduate Program</t>
  </si>
  <si>
    <t>CNAS/CES</t>
  </si>
  <si>
    <t>SMITH LEVER FY2014</t>
  </si>
  <si>
    <t>To support innovative, education-based approaches to addressing extension education and services to these limited resource farm families to help them achieve desirable results.</t>
  </si>
  <si>
    <t>SMITH LEVER FY2015</t>
  </si>
  <si>
    <t>61-F/2G-213/223/233P</t>
  </si>
  <si>
    <t>SMITH LEVER FY2016</t>
  </si>
  <si>
    <t>SMITH LEVER FY2017</t>
  </si>
  <si>
    <t>N117SLBCXXXXG045</t>
  </si>
  <si>
    <t>Dr. Dresbach</t>
  </si>
  <si>
    <t>SMITH LEVER FY2018</t>
  </si>
  <si>
    <t>N118SLBCXXXXG038</t>
  </si>
  <si>
    <t>Dr. Aflague</t>
  </si>
  <si>
    <t>N118EFNEPXXXG007</t>
  </si>
  <si>
    <t>Renewal Resources FY17</t>
  </si>
  <si>
    <t>61-1F-213021-P</t>
  </si>
  <si>
    <t>N117RREAFXXXG022</t>
  </si>
  <si>
    <t>Dr. R. Schlub</t>
  </si>
  <si>
    <t>Renewal Resources FY18</t>
  </si>
  <si>
    <t>N118RREAFXXXG016</t>
  </si>
  <si>
    <t>61-2F-223030-P</t>
  </si>
  <si>
    <t>2014-70006-22504</t>
  </si>
  <si>
    <t>Dr. Schlub</t>
  </si>
  <si>
    <t>Increase awareness of Guam's citizenry of Guam's plant pest and disease problems</t>
  </si>
  <si>
    <t>61-1F-223031-P</t>
  </si>
  <si>
    <t>2017-70006-27204</t>
  </si>
  <si>
    <t>USDA-FS</t>
  </si>
  <si>
    <t>61-2F-223702-P</t>
  </si>
  <si>
    <t>12-DG-11052021-236</t>
  </si>
  <si>
    <t>Dr. Barber</t>
  </si>
  <si>
    <t>To maintain a Casuarina seed nursery, update the publication "Gago" Guam Ironwood Tree, Casuarina equisetifolia: Past, Present and Future and to develp a "Phellinus noxius awareness and tree evaluation program</t>
  </si>
  <si>
    <t>Casuarina Project</t>
  </si>
  <si>
    <t>61-2F-223703-P</t>
  </si>
  <si>
    <t>17-DG-11052021-233</t>
  </si>
  <si>
    <t>USDA/KSU</t>
  </si>
  <si>
    <t>61-1F-233403-P</t>
  </si>
  <si>
    <t>S17106 Amend#1</t>
  </si>
  <si>
    <t>Cliford  Kyota</t>
  </si>
  <si>
    <t>4-H Clubs and Programming on/around installation; To provide program support and collaboration for youth during military sponsored events; To design and deliver fun and innovative youth workshops with hands on activities to enhancing participants' knowledge, understanding and life skills in STEM, citizenship and health</t>
  </si>
  <si>
    <t>61-2F-223410-P</t>
  </si>
  <si>
    <t>Improve the ability of producers to screen tomato varieties for tomato leaf curl guam virus</t>
  </si>
  <si>
    <t>140867003-95</t>
  </si>
  <si>
    <t>USDA/DPHSS</t>
  </si>
  <si>
    <t>61-1F-233415-P</t>
  </si>
  <si>
    <t>316-1700-036</t>
  </si>
  <si>
    <t>To conduct and deliver SNAP-Ed nutrition education program to Guam residents</t>
  </si>
  <si>
    <t>61-2F-233415-P</t>
  </si>
  <si>
    <t>C180600430</t>
  </si>
  <si>
    <t>HEALTHY AGING</t>
  </si>
  <si>
    <t>61-1F-233420-P</t>
  </si>
  <si>
    <t>WR#16-1700-008</t>
  </si>
  <si>
    <t>Conduct and deliver a health promotion program for older adults (60 yrs old and above) that meets the Administration for Community Living's criteria for a highest-level evidence-based program</t>
  </si>
  <si>
    <t>61-2F-233421-P</t>
  </si>
  <si>
    <t>C170601290</t>
  </si>
  <si>
    <t xml:space="preserve">Conduct and deliver the "Active Living Every Day" (ALED), evidence-based health promotion program for older adults (60yrs old and above </t>
  </si>
  <si>
    <t>Tides Center</t>
  </si>
  <si>
    <t>61-32-235003-P</t>
  </si>
  <si>
    <t>NA</t>
  </si>
  <si>
    <t>Develop teacher gardening curriculum; help Farmers Coop in negotiation with DOE, support in improving DE/ECE policy and national standards based tropical garden and nutrition curriculum for teachers use</t>
  </si>
  <si>
    <t>COFA Survey</t>
  </si>
  <si>
    <t>61-32-235004-P</t>
  </si>
  <si>
    <t>1333LB18C00000006</t>
  </si>
  <si>
    <t>Pete Barcians</t>
  </si>
  <si>
    <t>2018 Survey of COFA Migrants in Guam</t>
  </si>
  <si>
    <t>USDE/GDOE</t>
  </si>
  <si>
    <t>61-2W-234002-P</t>
  </si>
  <si>
    <t>20180458-00</t>
  </si>
  <si>
    <t>Cliford Kyota</t>
  </si>
  <si>
    <t>To procure consulting services with UOG 4-H to provide support and services implement STEM program for College Pathways and Ayudante; to procure consulting services with UOG 4-H</t>
  </si>
  <si>
    <t>To provide professional development and instructional strategies for STEM Teachers</t>
  </si>
  <si>
    <t>7/31/19</t>
  </si>
  <si>
    <t>93.397</t>
  </si>
  <si>
    <t>15.875</t>
  </si>
  <si>
    <t>USGS/GWA  (MOU)</t>
  </si>
  <si>
    <t>Information Transfer/Data Program</t>
  </si>
  <si>
    <r>
      <t>63-1K-4330</t>
    </r>
    <r>
      <rPr>
        <b/>
        <sz val="12"/>
        <color theme="1"/>
        <rFont val="Times New Roman"/>
        <family val="1"/>
      </rPr>
      <t>53</t>
    </r>
    <r>
      <rPr>
        <sz val="12"/>
        <color theme="1"/>
        <rFont val="Times New Roman"/>
        <family val="1"/>
      </rPr>
      <t>-R</t>
    </r>
  </si>
  <si>
    <r>
      <t>63-2K-4330</t>
    </r>
    <r>
      <rPr>
        <b/>
        <sz val="12"/>
        <color theme="1"/>
        <rFont val="Times New Roman"/>
        <family val="1"/>
      </rPr>
      <t>51</t>
    </r>
    <r>
      <rPr>
        <sz val="12"/>
        <color theme="1"/>
        <rFont val="Times New Roman"/>
        <family val="1"/>
      </rPr>
      <t>-R</t>
    </r>
  </si>
  <si>
    <r>
      <t>63-1K-4330</t>
    </r>
    <r>
      <rPr>
        <b/>
        <sz val="12"/>
        <color theme="1"/>
        <rFont val="Times New Roman"/>
        <family val="1"/>
      </rPr>
      <t>30</t>
    </r>
    <r>
      <rPr>
        <sz val="12"/>
        <color theme="1"/>
        <rFont val="Times New Roman"/>
        <family val="1"/>
      </rPr>
      <t>-R</t>
    </r>
  </si>
  <si>
    <r>
      <rPr>
        <b/>
        <sz val="12"/>
        <color theme="1"/>
        <rFont val="Times New Roman"/>
        <family val="1"/>
      </rPr>
      <t>SBDC</t>
    </r>
    <r>
      <rPr>
        <sz val="12"/>
        <color theme="1"/>
        <rFont val="Times New Roman"/>
        <family val="1"/>
      </rPr>
      <t xml:space="preserve"> Guam</t>
    </r>
  </si>
  <si>
    <t>Guam Department Labor</t>
  </si>
  <si>
    <t>3/31/2020</t>
  </si>
  <si>
    <t>30-2F-315026-R</t>
  </si>
  <si>
    <t>Dr. Peter Houk / Sarah Lemer</t>
  </si>
  <si>
    <t>To create a new tool that combines fisheries-dependent data with genetic markers to predict how important reef fish families such as parrotfishes, surgeonfishes, snapper, and emperorfishes...</t>
  </si>
  <si>
    <t>BSP</t>
  </si>
  <si>
    <t xml:space="preserve">Bleaching mitigation and reef resilience </t>
  </si>
  <si>
    <t>60-2F-315044-R</t>
  </si>
  <si>
    <t>W18-0900-001</t>
  </si>
  <si>
    <t>2/8/18</t>
  </si>
  <si>
    <t>An expansion of an existing one to "develop and test approaches for mitigation and rehabilitation after impacts" as it directly addresses an identified gap…</t>
  </si>
  <si>
    <t>30-2F-311007-R      
63-2F-203003-R</t>
  </si>
  <si>
    <t xml:space="preserve">30-2N-311067-R
30-2N-311068-R </t>
  </si>
  <si>
    <t>A cohort for studying the burden of Cardio-metabolic diseases in Guam and Pohnpei</t>
  </si>
  <si>
    <t>NIH-NIMHD</t>
  </si>
  <si>
    <t>1/31/2021</t>
  </si>
  <si>
    <r>
      <rPr>
        <b/>
        <sz val="12"/>
        <color theme="1"/>
        <rFont val="Times New Roman"/>
        <family val="1"/>
      </rPr>
      <t xml:space="preserve">U24 PICCAH </t>
    </r>
    <r>
      <rPr>
        <sz val="12"/>
        <color theme="1"/>
        <rFont val="Times New Roman"/>
        <family val="1"/>
      </rPr>
      <t>Cardio Diseases - 5YR</t>
    </r>
  </si>
  <si>
    <t>Enhancing Cross-Disciplinary Infrastructure Training at Oregon (EXITO) Program</t>
  </si>
  <si>
    <t>NIH-BUILD</t>
  </si>
  <si>
    <t>9/1/2014</t>
  </si>
  <si>
    <t>8/31/2019</t>
  </si>
  <si>
    <r>
      <rPr>
        <b/>
        <sz val="12"/>
        <color theme="1"/>
        <rFont val="Times New Roman"/>
        <family val="1"/>
      </rPr>
      <t>BUILD EXITO</t>
    </r>
    <r>
      <rPr>
        <sz val="12"/>
        <color theme="1"/>
        <rFont val="Times New Roman"/>
        <family val="1"/>
      </rPr>
      <t xml:space="preserve"> Research, Admin Core, Inst Core - 5YR</t>
    </r>
  </si>
  <si>
    <t>HRSA</t>
  </si>
  <si>
    <t>USDHHS</t>
  </si>
  <si>
    <t>US Department of Health and Human Services</t>
  </si>
  <si>
    <t>US Department of Education</t>
  </si>
  <si>
    <t>US Department of Agriculture</t>
  </si>
  <si>
    <t>US Department of Agriculture Animal and Plant Health Inspection Service</t>
  </si>
  <si>
    <t>US Department of Agriculture University of Washington</t>
  </si>
  <si>
    <t>US Department of Agriculture Animal and Plant Health Inspection Service 
Plant Protection and Quarantine</t>
  </si>
  <si>
    <t>US Geological Survey</t>
  </si>
  <si>
    <t>US Department of Agriculture National Institute of Food and Agriculture</t>
  </si>
  <si>
    <t>US Department of Agriculture Research Corportation University of Hawaii</t>
  </si>
  <si>
    <t>US Department of Agriculture Utah State University</t>
  </si>
  <si>
    <t>US Fish and Wildlife Service</t>
  </si>
  <si>
    <t>Department of Public Health and Social Services (GU)</t>
  </si>
  <si>
    <t>HRSA-AHEC Guam Micronesia Area Health Education Center - Extension (Y1-Y4)</t>
  </si>
  <si>
    <r>
      <rPr>
        <b/>
        <sz val="12"/>
        <color theme="1"/>
        <rFont val="Times New Roman"/>
        <family val="1"/>
      </rPr>
      <t>HRSA</t>
    </r>
    <r>
      <rPr>
        <sz val="12"/>
        <color theme="1"/>
        <rFont val="Times New Roman"/>
        <family val="1"/>
      </rPr>
      <t>-AHEC Guam Micronesia Area Health Education Center (Y5-Y9)</t>
    </r>
  </si>
  <si>
    <r>
      <t xml:space="preserve">HRSA-AHEC Guam Micronesia Area Health Education Center - (Y1-Y4) </t>
    </r>
    <r>
      <rPr>
        <sz val="12"/>
        <color rgb="FF0000FF"/>
        <rFont val="Times New Roman"/>
        <family val="1"/>
      </rPr>
      <t>Extension</t>
    </r>
  </si>
  <si>
    <t>Sea Grant Program - EXTENDED (4YR)</t>
  </si>
  <si>
    <t>30-2F-311081-87-R</t>
  </si>
  <si>
    <t>Memorandum of Agreement</t>
  </si>
  <si>
    <t>Forest Stewardship and health for Guam</t>
  </si>
  <si>
    <t>63-2H-453018-P</t>
  </si>
  <si>
    <t>66-1W-455002-N</t>
  </si>
  <si>
    <t>66-2W-455001-N</t>
  </si>
  <si>
    <t>66-2W-455002-N</t>
  </si>
  <si>
    <t>61-1F-233021-P</t>
  </si>
  <si>
    <t>61-1F-243040-R</t>
  </si>
  <si>
    <t>61-1F/2G-253001-31-R</t>
  </si>
  <si>
    <t>61-2F-233021-P</t>
  </si>
  <si>
    <t>61-2F-263001-11-R</t>
  </si>
  <si>
    <t>61-2F-283023-R</t>
  </si>
  <si>
    <t>61-2F/1G-253001-18-R</t>
  </si>
  <si>
    <t>61-2F/1G-253001-31-R</t>
  </si>
  <si>
    <t>63-1J-503002-P</t>
  </si>
  <si>
    <t>63-1J-503003-P</t>
  </si>
  <si>
    <t>63-1J-503004-P</t>
  </si>
  <si>
    <t>64-2F-503401-S</t>
  </si>
  <si>
    <t>30-2F-311065-R</t>
  </si>
  <si>
    <t>30-2F-311080-R</t>
  </si>
  <si>
    <t>64-2F-413427-R</t>
  </si>
  <si>
    <t>64-2F-403408-P</t>
  </si>
  <si>
    <t>63-1H-123005-N</t>
  </si>
  <si>
    <t>63-2H-123003-N</t>
  </si>
  <si>
    <t>30-1/2H-311012-P         63-1H-453003/23-P</t>
  </si>
  <si>
    <t>30-1/2H-315003-P
61-2F-453428-P</t>
  </si>
  <si>
    <t>64-1/2F-453425-N</t>
  </si>
  <si>
    <t>64-1/2F-453427-P</t>
  </si>
  <si>
    <t>Account number order  ( E )</t>
  </si>
  <si>
    <r>
      <rPr>
        <b/>
        <sz val="12"/>
        <color theme="1"/>
        <rFont val="Times New Roman"/>
        <family val="1"/>
      </rPr>
      <t>Universal Newborn</t>
    </r>
    <r>
      <rPr>
        <sz val="12"/>
        <color theme="1"/>
        <rFont val="Times New Roman"/>
        <family val="1"/>
      </rPr>
      <t xml:space="preserve"> Hearing Screening &amp; Intevention (RIKOHI/FitMe)</t>
    </r>
  </si>
  <si>
    <r>
      <rPr>
        <b/>
        <sz val="12"/>
        <color theme="1"/>
        <rFont val="Times New Roman"/>
        <family val="1"/>
      </rPr>
      <t>Project EPICS</t>
    </r>
    <r>
      <rPr>
        <sz val="12"/>
        <color theme="1"/>
        <rFont val="Times New Roman"/>
        <family val="1"/>
      </rPr>
      <t xml:space="preserve"> (Educating Pacific Island Clinicians in Speech-Language Pathology)</t>
    </r>
  </si>
  <si>
    <t xml:space="preserve">30-1/2H-311012-P. 63-1H-453003/23-P  </t>
  </si>
  <si>
    <r>
      <t xml:space="preserve">State Grant for Assistive Technology </t>
    </r>
    <r>
      <rPr>
        <b/>
        <sz val="12"/>
        <color theme="1"/>
        <rFont val="Times New Roman"/>
        <family val="1"/>
      </rPr>
      <t>(SGAT)</t>
    </r>
  </si>
  <si>
    <r>
      <t>State Grant for Assistive Technology (</t>
    </r>
    <r>
      <rPr>
        <b/>
        <sz val="12"/>
        <color theme="1"/>
        <rFont val="Times New Roman"/>
        <family val="1"/>
      </rPr>
      <t>SGAT)</t>
    </r>
  </si>
  <si>
    <r>
      <t>Consolidate Grant - State Systemic Improvement Project (</t>
    </r>
    <r>
      <rPr>
        <b/>
        <sz val="12"/>
        <color theme="1"/>
        <rFont val="Times New Roman"/>
        <family val="1"/>
      </rPr>
      <t>CG-SSIP)</t>
    </r>
  </si>
  <si>
    <r>
      <t>Get Guam Teleworking (</t>
    </r>
    <r>
      <rPr>
        <b/>
        <sz val="12"/>
        <color theme="1"/>
        <rFont val="Times New Roman"/>
        <family val="1"/>
      </rPr>
      <t>GGT)</t>
    </r>
  </si>
  <si>
    <r>
      <t xml:space="preserve">Guam Affordable Care Act Maternal, Infant, &amp; Early Childhood Home Visiting Program - </t>
    </r>
    <r>
      <rPr>
        <b/>
        <sz val="12"/>
        <color theme="1"/>
        <rFont val="Times New Roman"/>
        <family val="1"/>
      </rPr>
      <t>Project Bisita I Familia</t>
    </r>
  </si>
  <si>
    <r>
      <t>Guam Child Link Early Hearing Detection Intervention (</t>
    </r>
    <r>
      <rPr>
        <b/>
        <sz val="12"/>
        <rFont val="Times New Roman"/>
        <family val="1"/>
      </rPr>
      <t>GCL-EHDI)</t>
    </r>
  </si>
  <si>
    <r>
      <t>Guam Options for Alternative Loans for Assistive Technology (</t>
    </r>
    <r>
      <rPr>
        <b/>
        <sz val="12"/>
        <color theme="1"/>
        <rFont val="Times New Roman"/>
        <family val="1"/>
      </rPr>
      <t>GOAL-AT)</t>
    </r>
  </si>
  <si>
    <r>
      <t>Learn the Sign Act Early (</t>
    </r>
    <r>
      <rPr>
        <b/>
        <sz val="12"/>
        <color theme="1"/>
        <rFont val="Times New Roman"/>
        <family val="1"/>
      </rPr>
      <t>LTSAE)</t>
    </r>
  </si>
  <si>
    <r>
      <t>Positive Behavioral Intervention &amp; Supports (</t>
    </r>
    <r>
      <rPr>
        <b/>
        <sz val="12"/>
        <color theme="1"/>
        <rFont val="Times New Roman"/>
        <family val="1"/>
      </rPr>
      <t>PBIS)</t>
    </r>
  </si>
  <si>
    <r>
      <t>University Center for Excellence in Developmental Disabilities (</t>
    </r>
    <r>
      <rPr>
        <b/>
        <sz val="12"/>
        <color theme="1"/>
        <rFont val="Times New Roman"/>
        <family val="1"/>
      </rPr>
      <t>UCEDD)</t>
    </r>
  </si>
  <si>
    <t>Project LEND - ZIKV</t>
  </si>
  <si>
    <t xml:space="preserve">GDOE </t>
  </si>
  <si>
    <t>CNCS</t>
  </si>
  <si>
    <t>Corporation for National and Community Service</t>
  </si>
  <si>
    <t>The University of Guam Volunteer Center proposes to have members who will provide workshops, coordinate activities, conduct outreach and recruit volunteers in the University of Guam, the Mayors' Council and 19 village mayors, senior citizens centers, schools, government agencies, youth clubs and other community volunteer groups.</t>
  </si>
  <si>
    <t>17AFHGU0010001</t>
  </si>
  <si>
    <t>Charlene Bitlaol</t>
  </si>
  <si>
    <t>Title order  ( D )</t>
  </si>
  <si>
    <t>SBA/SBDC SUB-RECIPIENTS</t>
  </si>
  <si>
    <t>Dr. Margaret Hattori-Uchima</t>
  </si>
  <si>
    <t>Natural resources condition assessment: War in the Pacific National Historic Park and American Memorial Park</t>
  </si>
  <si>
    <t xml:space="preserve">DOI/NPS </t>
  </si>
  <si>
    <t xml:space="preserve">DOAg </t>
  </si>
  <si>
    <t>Mitigation of LFA</t>
  </si>
  <si>
    <t>Multi-State FY2016</t>
  </si>
  <si>
    <t>61-2F-273001-10-R</t>
  </si>
  <si>
    <t>2016-32100-06057</t>
  </si>
  <si>
    <t>To increase forestry research in the production, utilization, and protection of forestland; t train future forestry scientists; and to involve other disciplines in forestry research.</t>
  </si>
  <si>
    <t>61-1F-273001-10-R</t>
  </si>
  <si>
    <t>NI17MSCFRXXXG062</t>
  </si>
  <si>
    <t>N118MSCFRXXXG061</t>
  </si>
  <si>
    <t>USDA/USU</t>
  </si>
  <si>
    <t>To help limited-resource families and youth acquire he knowledge, skills, attitudes and behaviour changes necessary to maintain nutritionally sound diets and promote personal development.</t>
  </si>
  <si>
    <t>61-2F-283022-R</t>
  </si>
  <si>
    <t>Arborist Certification, Development of Online Training Modules for Individuals on Guam Preparing for Arborist Certification</t>
  </si>
  <si>
    <t>Forest Inventory-FSM</t>
  </si>
  <si>
    <t>Forest Inventory-Marshall Islands</t>
  </si>
  <si>
    <t>Assessment of aphid parasitism on exotic aphid pests on Guam and the CNMI, continuation of</t>
  </si>
  <si>
    <t>USCB/BSP</t>
  </si>
  <si>
    <t>USCB</t>
  </si>
  <si>
    <t>US Census Bureau</t>
  </si>
  <si>
    <t>EFNEP FY2015</t>
  </si>
  <si>
    <t>EFNEP FY2016</t>
  </si>
  <si>
    <t>EFNEP FY2017</t>
  </si>
  <si>
    <t>EFNEP FY2018</t>
  </si>
  <si>
    <t>Extension Implement Prog-EIP</t>
  </si>
  <si>
    <t>Dr. Oh</t>
  </si>
  <si>
    <t>TC1368-17-04310</t>
  </si>
  <si>
    <t>Tides Center Natl Farm</t>
  </si>
  <si>
    <t>CDC/AMCHP (PT)</t>
  </si>
  <si>
    <t xml:space="preserve">USDA/UW </t>
  </si>
  <si>
    <t>WRCNPDN (PT)</t>
  </si>
  <si>
    <t>USDA/DOAg</t>
  </si>
  <si>
    <t>USDA-NIFA/USU</t>
  </si>
  <si>
    <t>Production of Fusarium Wilt resistant bananas for Guam farmers, small scale and backyard growers (PT)</t>
  </si>
  <si>
    <t>USDA-AMS/DOAg</t>
  </si>
  <si>
    <t>PACIOOS (PT)</t>
  </si>
  <si>
    <t xml:space="preserve">NOAA/RCUH </t>
  </si>
  <si>
    <t>4-H Military Partnership (PT)</t>
  </si>
  <si>
    <t>4-H STEM PROJECT (PT)</t>
  </si>
  <si>
    <t>ALED Prev Health (PT)</t>
  </si>
  <si>
    <t>McIntire Stennis FY16</t>
  </si>
  <si>
    <t>McIntire Stennis FY17</t>
  </si>
  <si>
    <t>McIntire Stennis FY18</t>
  </si>
  <si>
    <t>SNAP ED PROG (PT-DPHSS)</t>
  </si>
  <si>
    <t>Suppression of Orchid Diseases by Influx of Healthy Plants to Guam's Floral Market (PT-DOAg)</t>
  </si>
  <si>
    <t>WSARE-2015 Professional Development Program Plan for Guam (PT-USU)</t>
  </si>
  <si>
    <t>WSARE-State Program Plan for Guam (PT-USU)</t>
  </si>
  <si>
    <t>WSARE Implementation (PT-USU)</t>
  </si>
  <si>
    <t>WSARE (PT)</t>
  </si>
  <si>
    <t>Micronesian Forest Inv (PT-MCT)</t>
  </si>
  <si>
    <t>USDA/MCT</t>
  </si>
  <si>
    <t>CNAS-AES</t>
  </si>
  <si>
    <t>CNAS-CES</t>
  </si>
  <si>
    <r>
      <rPr>
        <b/>
        <sz val="12"/>
        <rFont val="Times New Roman"/>
        <family val="1"/>
      </rPr>
      <t>Radon</t>
    </r>
    <r>
      <rPr>
        <sz val="12"/>
        <rFont val="Times New Roman"/>
        <family val="1"/>
      </rPr>
      <t xml:space="preserve"> Training (PT-GEPA)</t>
    </r>
  </si>
  <si>
    <t>C170600570(MOU)</t>
  </si>
  <si>
    <t xml:space="preserve">GEPA </t>
  </si>
  <si>
    <t>Ecofeed Program (CIS)</t>
  </si>
  <si>
    <t>63-2L-403404-P</t>
  </si>
  <si>
    <t>GUAM TAP UOG 2014-1</t>
  </si>
  <si>
    <t>4/1/2014</t>
  </si>
  <si>
    <t>To develop a system to turn food waste from schools and commercial enterprises into "Feed for Farm Animals" and "Feed for Plants"</t>
  </si>
  <si>
    <t>Sea Turtle Protection and Educational Outreach on Guam (CESU)</t>
  </si>
  <si>
    <t>30-1F-311054-R
63-1F-403031-R</t>
  </si>
  <si>
    <t>N40192-13-2-8006</t>
  </si>
  <si>
    <t>9/25/2013</t>
  </si>
  <si>
    <t>2/10/2018</t>
  </si>
  <si>
    <t>To conduct sea turtle protection and educational outreach on Guam in collaboration with AAFB</t>
  </si>
  <si>
    <t xml:space="preserve">30-1/2F-311002-R
</t>
  </si>
  <si>
    <t>30-2F-311081-7-R</t>
  </si>
  <si>
    <t>Custom Mechanical Systems Corp (contract)</t>
  </si>
  <si>
    <t xml:space="preserve">DOI/BSP </t>
  </si>
  <si>
    <t>DOI/BSP</t>
  </si>
  <si>
    <t xml:space="preserve">DPHSS </t>
  </si>
  <si>
    <t xml:space="preserve">GovGuam </t>
  </si>
  <si>
    <t>NOAA/BSP</t>
  </si>
  <si>
    <r>
      <rPr>
        <b/>
        <sz val="12"/>
        <color theme="1"/>
        <rFont val="Times New Roman"/>
        <family val="1"/>
      </rPr>
      <t xml:space="preserve">Pacific Cancer Registry </t>
    </r>
    <r>
      <rPr>
        <sz val="12"/>
        <color theme="1"/>
        <rFont val="Times New Roman"/>
        <family val="1"/>
      </rPr>
      <t>(PT-UH)</t>
    </r>
  </si>
  <si>
    <t>DHHS/UH</t>
  </si>
  <si>
    <t>CMSC</t>
  </si>
  <si>
    <r>
      <t xml:space="preserve">Building </t>
    </r>
    <r>
      <rPr>
        <b/>
        <sz val="12"/>
        <color theme="1"/>
        <rFont val="Times New Roman"/>
        <family val="1"/>
      </rPr>
      <t>Community Resilience</t>
    </r>
    <r>
      <rPr>
        <sz val="12"/>
        <color theme="1"/>
        <rFont val="Times New Roman"/>
        <family val="1"/>
      </rPr>
      <t xml:space="preserve"> through CIS</t>
    </r>
  </si>
  <si>
    <t xml:space="preserve">NOAA/BSP </t>
  </si>
  <si>
    <t>USGS/UH</t>
  </si>
  <si>
    <t>6/19/18</t>
  </si>
  <si>
    <t>63-2K-433056</t>
  </si>
  <si>
    <t>G16AP00048-0005 2018GU321B</t>
  </si>
  <si>
    <t>6/18/18</t>
  </si>
  <si>
    <t>6/17/19</t>
  </si>
  <si>
    <t>Dr. Yong Sang Kim</t>
  </si>
  <si>
    <t>Review seven abandoned GWA production wells.Reason s of abandoning production wells, such as lifespan, withdarwal and contamination will be investigated.</t>
  </si>
  <si>
    <t>30-1L-315034-R       64-2F-433412-R</t>
  </si>
  <si>
    <t>Guam Waterworks Authority (GWA) Production-well rehabilitation assessment: Lessons Learned/ Manual for Well Exploration and Development</t>
  </si>
  <si>
    <t>Sustainability of Sewage and Sludge treatment Systems on Yap</t>
  </si>
  <si>
    <t>G16AP00048-0005 2017GU314B</t>
  </si>
  <si>
    <t>Dr. Joe Rouse</t>
  </si>
  <si>
    <t>To enahance the operation of existing STP by making improvements to recently implemented processes such as the attached-growth process in the existing primary treatment system and also the resently established composting process for treatment of waste sludge.</t>
  </si>
  <si>
    <t>Autonomous Control Technology for Unmanned Aerial Systems with Agricultural and Environmental Applications in Central Pacific Island</t>
  </si>
  <si>
    <t>30-2F-315047-P-5</t>
  </si>
  <si>
    <t>96-508-8057</t>
  </si>
  <si>
    <t>2/15/18</t>
  </si>
  <si>
    <t>8/31/20</t>
  </si>
  <si>
    <t xml:space="preserve">The purposes of this project is for researchers at UOG to apply unmanned aerial vehicles (UAVs) developed by collaborators at UH to remote sensing of plumes of freshwater discharging from Guam's limestone aquifer into the nearchore coastal waters. </t>
  </si>
  <si>
    <t>Composting Waste Sludge in Yap</t>
  </si>
  <si>
    <t>63-1K-433030-R</t>
  </si>
  <si>
    <t>G16AP00048-0004
2017GU314B</t>
  </si>
  <si>
    <t>Development of a GIS Based Imagery Database of Groundwater Recharge Areas and Key Reaches of Streams on Guam</t>
  </si>
  <si>
    <t>63-2K-433011</t>
  </si>
  <si>
    <t>This project will develop a means to carry out sUAS mission over both the surface water resources of Southern Guam and groundwater recharge areas of Northern Guam.The aUAS camera used will gather detailed orthophoto data that will be processed into mosaiced digital orthographic models and digital elevations models that will maintained in WERI's Geographical Information System (GIS) Database.</t>
  </si>
  <si>
    <t>Exploring the Northern Guam Lens Aquifer limits via 3-D groundwater model Phase 5 - model update and calibration</t>
  </si>
  <si>
    <t>63-2K-433032</t>
  </si>
  <si>
    <t>G16AP00048-0005 2017GU310B</t>
  </si>
  <si>
    <t>Data acquisition and literature review of published and emerging research on spatial and temporal distributions and trends of rainfall and salinity in the NGLA by WERI, USGS and other; Rebuild model prameters and mesh to the new information; Update temporal analysis and interpretation; Update temporal analysis and interpratation; Test the model &amp; Run scenario simulations</t>
  </si>
  <si>
    <t>The project will examine mercury levels in surface sediments, fish and shellfish impacted by stormwater discharges emnating from the natural wetalnd within AMME.</t>
  </si>
  <si>
    <t>G16AP00048-0004
2017GU316B</t>
  </si>
  <si>
    <t>63-2K-433026-R</t>
  </si>
  <si>
    <t>Impact of Stormwater from Constructed Wetland in American Memorial Park, Saipan CNMI, on receiving water and Fisheries resources</t>
  </si>
  <si>
    <t>G16AP00048-0005 2017GU316B</t>
  </si>
  <si>
    <t>Information Transfer Program</t>
  </si>
  <si>
    <t>63-2K-433002</t>
  </si>
  <si>
    <t>G16AP00048-0005 2017GU319B</t>
  </si>
  <si>
    <t>Annual trend reporting, and maintenance and development of the FHS/WERI water resource database.  GIS DATA BASE</t>
  </si>
  <si>
    <t>Expansion of N-baseline data in the Northern Guam Lens Aquifer</t>
  </si>
  <si>
    <t>Hydrological Data for Toguan Watershed Manage Project MOU</t>
  </si>
  <si>
    <t>Technical Assistance for Constructing and Testing New Deep-Monitor Wells and Rehabilitating Existing Monitor Wells in the Northern Guam Lens Aquafer                                     (GWA-OGWIRP-NGLA)</t>
  </si>
  <si>
    <t>NOAA/UH</t>
  </si>
  <si>
    <t>Pacific ENSO Application Climate (PEAC) Center</t>
  </si>
  <si>
    <t>30-2F-315043-R</t>
  </si>
  <si>
    <t>NA16NM4320058/MMA1308</t>
  </si>
  <si>
    <t>10/01/17</t>
  </si>
  <si>
    <t>Dr. Lander</t>
  </si>
  <si>
    <t>To study the regionalclimatology; development and publication of regional synoptic climatology; development of rainfall and sea level forecast models; evaluation of and feedback on the performance climate models from other agencies and institutions</t>
  </si>
  <si>
    <t>G16AP00048-0004
2017GU313B</t>
  </si>
  <si>
    <t>PFOS Trend Monitoring in a Guam Drinking Water Production Well : Seasonal Influences</t>
  </si>
  <si>
    <t>63-2K-433031</t>
  </si>
  <si>
    <t>G16AP00048-0005 2017GU313B</t>
  </si>
  <si>
    <t xml:space="preserve">The project will examine temporal trends in PFOS concentrations in a contamined high production well that is currently out of comission. </t>
  </si>
  <si>
    <t>Phase 2: Development of reprsentative rainfall time series for CNMI hydrological applications</t>
  </si>
  <si>
    <t>63-2K-433033</t>
  </si>
  <si>
    <t>G16AP00048-0005 2017GU318B</t>
  </si>
  <si>
    <t>Technical analysis of the rainfall charactersistics that contribute to the erosion process in the islands of the CNMI. The result obtained will be most applicable to these islands, but the techniques developed will be usefulto others studying the soil erosion process in similar topical areas.</t>
  </si>
  <si>
    <t>Phase-II of N-baseline data and abatement methods for the Northern Guam Lens Aquifer</t>
  </si>
  <si>
    <t>63-2K-433003</t>
  </si>
  <si>
    <t>G16AP00048-0005  2017GU309B</t>
  </si>
  <si>
    <t>To conduct research in response to the critical needs expressed at the Advisory Council Meetings on spatial and temporal trends in levels of contaminants in Guam's groundwater, as well as the need for continuous baseline studies on levels of nitrogenous compounds, etc. with respect to time and location. In addition, it addressesthe need of evaluation of innovative wastewater treatment unit.</t>
  </si>
  <si>
    <t>Program Management</t>
  </si>
  <si>
    <t>63-2K-433001</t>
  </si>
  <si>
    <t>G16AP00048-0005 2018GU-ADMIN</t>
  </si>
  <si>
    <t>G16AP00048-0004
2017GU-ADMIN</t>
  </si>
  <si>
    <t>Water Use Data and Research in Guam</t>
  </si>
  <si>
    <t>forwarded memo to BO for set up</t>
  </si>
  <si>
    <t>G18AC00265</t>
  </si>
  <si>
    <t>10/1/18/</t>
  </si>
  <si>
    <t>9/30/20</t>
  </si>
  <si>
    <t>Dr. Kim</t>
  </si>
  <si>
    <t>To analyze current water use data for Guam and compare it with baseline standard of USGS Water Use and Data Research (WUDR) and formulate a workable management plan whereby water use data can be readily comparable with other water use data from the United State.</t>
  </si>
  <si>
    <t>What Hydrogeochemical Processes Control weathering in the Deep Critical Zone at Unburied Karst Landscape</t>
  </si>
  <si>
    <t>Digital Atlas Yap - A Geospatial Map and Data Server for Resources Management</t>
  </si>
  <si>
    <t>63-2K-433053</t>
  </si>
  <si>
    <t>G16AP00048-0005 2017GU315B</t>
  </si>
  <si>
    <t>Dr. Danko Taborosi</t>
  </si>
  <si>
    <t>To build the Digital Atlas at Yap so that it can serve as a central data repository and digital hub for all geospatial information relevant to Yap</t>
  </si>
  <si>
    <t>SARE Professional Development Program Plan for Guam, 2014 implimentation</t>
  </si>
  <si>
    <t>10/1/09</t>
  </si>
  <si>
    <t>USGS (DOI)</t>
  </si>
  <si>
    <t>DOI-USGS</t>
  </si>
  <si>
    <t>GG 2016 &amp; 2016 Bond/GWA(PT)</t>
  </si>
  <si>
    <t>NASA/UH</t>
  </si>
  <si>
    <t>COMMENTS</t>
  </si>
  <si>
    <t>ISO in file</t>
  </si>
  <si>
    <t>To enhance the operation of existing STP by making improvements to recently implemented processes such as the attached-growth process in the existing primary treatment system and also the resently established composting process for treatment of waste sludge.</t>
  </si>
  <si>
    <t>2/26/2020</t>
  </si>
  <si>
    <t>8/27/18</t>
  </si>
  <si>
    <r>
      <rPr>
        <b/>
        <sz val="12"/>
        <color theme="1"/>
        <rFont val="Times New Roman"/>
        <family val="1"/>
      </rPr>
      <t>U54</t>
    </r>
    <r>
      <rPr>
        <sz val="12"/>
        <color theme="1"/>
        <rFont val="Times New Roman"/>
        <family val="1"/>
      </rPr>
      <t xml:space="preserve"> Partnership Cancer Grant UH/UOG (5YR)  </t>
    </r>
  </si>
  <si>
    <t>Technical Assistance for Constructing and Testing New Deep-Monitor Wells and Rehabilitating Existing Monitor Wells in the Northern Guam Lens Aquafer (GWA-OGWIRP-NGLA)</t>
  </si>
  <si>
    <t>A proposal for a Course in Tropical Forest Ecology of the Mariana Islands</t>
  </si>
  <si>
    <t>61-1N-243036-R</t>
  </si>
  <si>
    <t>61-1F-263001-13-R</t>
  </si>
  <si>
    <t>30-1F-311056-R</t>
  </si>
  <si>
    <t>61-2F-263001-13-R</t>
  </si>
  <si>
    <t>30-1F-315033-R</t>
  </si>
  <si>
    <r>
      <rPr>
        <b/>
        <sz val="12"/>
        <color theme="1"/>
        <rFont val="Times New Roman"/>
        <family val="1"/>
      </rPr>
      <t>Geocore</t>
    </r>
    <r>
      <rPr>
        <sz val="12"/>
        <color theme="1"/>
        <rFont val="Times New Roman"/>
        <family val="1"/>
      </rPr>
      <t>: Geospatial Studies of Reef Ecology and Health using Sattelite and Airborne Data-</t>
    </r>
    <r>
      <rPr>
        <b/>
        <sz val="12"/>
        <color theme="1"/>
        <rFont val="Times New Roman"/>
        <family val="1"/>
      </rPr>
      <t>NASACAN</t>
    </r>
  </si>
  <si>
    <t>Farallon De Medinilla Fish Video Analysis-CESU</t>
  </si>
  <si>
    <r>
      <t xml:space="preserve">Monitoring </t>
    </r>
    <r>
      <rPr>
        <b/>
        <sz val="12"/>
        <color theme="1"/>
        <rFont val="Times New Roman"/>
        <family val="1"/>
      </rPr>
      <t>Mariana Fruit Bats</t>
    </r>
    <r>
      <rPr>
        <sz val="12"/>
        <color theme="1"/>
        <rFont val="Times New Roman"/>
        <family val="1"/>
      </rPr>
      <t xml:space="preserve"> on AAFB-CESU</t>
    </r>
  </si>
  <si>
    <r>
      <rPr>
        <b/>
        <sz val="12"/>
        <color theme="1"/>
        <rFont val="Times New Roman"/>
        <family val="1"/>
      </rPr>
      <t>Sea Turtle</t>
    </r>
    <r>
      <rPr>
        <sz val="12"/>
        <color theme="1"/>
        <rFont val="Times New Roman"/>
        <family val="1"/>
      </rPr>
      <t xml:space="preserve"> Aerial Surveys in Faralon De Medinilla (FDM)-CESU</t>
    </r>
  </si>
  <si>
    <r>
      <rPr>
        <b/>
        <sz val="12"/>
        <color theme="1"/>
        <rFont val="Times New Roman"/>
        <family val="1"/>
      </rPr>
      <t xml:space="preserve">Sea Turtle </t>
    </r>
    <r>
      <rPr>
        <sz val="12"/>
        <color theme="1"/>
        <rFont val="Times New Roman"/>
        <family val="1"/>
      </rPr>
      <t>Protection and Educational Outreach on Andersen Air Force Base-CESU</t>
    </r>
  </si>
  <si>
    <r>
      <rPr>
        <b/>
        <sz val="12"/>
        <color theme="1"/>
        <rFont val="Times New Roman"/>
        <family val="1"/>
      </rPr>
      <t>Serianthes Nelsonni</t>
    </r>
    <r>
      <rPr>
        <sz val="12"/>
        <color theme="1"/>
        <rFont val="Times New Roman"/>
        <family val="1"/>
      </rPr>
      <t xml:space="preserve"> Monitoring AAFB-CESU</t>
    </r>
  </si>
  <si>
    <r>
      <rPr>
        <b/>
        <sz val="12"/>
        <color theme="1"/>
        <rFont val="Times New Roman"/>
        <family val="1"/>
      </rPr>
      <t>Plant Surveys</t>
    </r>
    <r>
      <rPr>
        <sz val="12"/>
        <color theme="1"/>
        <rFont val="Times New Roman"/>
        <family val="1"/>
      </rPr>
      <t>, Joint Region Marianas-CESU</t>
    </r>
  </si>
  <si>
    <r>
      <t xml:space="preserve">Detection of </t>
    </r>
    <r>
      <rPr>
        <b/>
        <sz val="12"/>
        <color theme="1"/>
        <rFont val="Times New Roman"/>
        <family val="1"/>
      </rPr>
      <t>Scalloped Hammerhead Sharks</t>
    </r>
    <r>
      <rPr>
        <sz val="12"/>
        <color theme="1"/>
        <rFont val="Times New Roman"/>
        <family val="1"/>
      </rPr>
      <t xml:space="preserve"> in Apra Harbor &amp; Adjacent Nearshore Waters, Guam Using Environmental DNA-CESU</t>
    </r>
  </si>
  <si>
    <r>
      <rPr>
        <b/>
        <sz val="12"/>
        <color theme="1"/>
        <rFont val="Times New Roman"/>
        <family val="1"/>
      </rPr>
      <t xml:space="preserve">Cetti Bay Watershed </t>
    </r>
    <r>
      <rPr>
        <sz val="12"/>
        <color theme="1"/>
        <rFont val="Times New Roman"/>
        <family val="1"/>
      </rPr>
      <t>Monitoring-CESU</t>
    </r>
  </si>
  <si>
    <r>
      <rPr>
        <b/>
        <sz val="12"/>
        <color theme="1"/>
        <rFont val="Times New Roman"/>
        <family val="1"/>
      </rPr>
      <t>Cycad</t>
    </r>
    <r>
      <rPr>
        <sz val="12"/>
        <color theme="1"/>
        <rFont val="Times New Roman"/>
        <family val="1"/>
      </rPr>
      <t xml:space="preserve"> Monitoring and Management on Andersen Air Force Base-CESU</t>
    </r>
  </si>
  <si>
    <t>Biomonitor Support for Natural Resource Management Surveys at Joint Region Marianas Area of Responsibility-CESU</t>
  </si>
  <si>
    <r>
      <rPr>
        <b/>
        <sz val="12"/>
        <color theme="1"/>
        <rFont val="Times New Roman"/>
        <family val="1"/>
      </rPr>
      <t>Little Fire Ant</t>
    </r>
    <r>
      <rPr>
        <sz val="12"/>
        <color theme="1"/>
        <rFont val="Times New Roman"/>
        <family val="1"/>
      </rPr>
      <t xml:space="preserve"> Survey, Perimeter Monitoring/Control and Eradication at Andersen South and Naval Base, Guam-CESU</t>
    </r>
  </si>
  <si>
    <t>Vegetation Restoration for the Habitat Management Unit, Andersen Air Force Base-CESU</t>
  </si>
  <si>
    <t>Water Quality Monitoring on Naval Base Guam Submerged Lands-CESU</t>
  </si>
  <si>
    <r>
      <t xml:space="preserve">Building </t>
    </r>
    <r>
      <rPr>
        <b/>
        <sz val="12"/>
        <color theme="1"/>
        <rFont val="Times New Roman"/>
        <family val="1"/>
      </rPr>
      <t>Community Resilience</t>
    </r>
    <r>
      <rPr>
        <sz val="12"/>
        <color theme="1"/>
        <rFont val="Times New Roman"/>
        <family val="1"/>
      </rPr>
      <t xml:space="preserve"> through-CIS</t>
    </r>
  </si>
  <si>
    <r>
      <rPr>
        <b/>
        <sz val="12"/>
        <color theme="1"/>
        <rFont val="Times New Roman"/>
        <family val="1"/>
      </rPr>
      <t>Guam Cancer Registry</t>
    </r>
    <r>
      <rPr>
        <sz val="12"/>
        <color theme="1"/>
        <rFont val="Times New Roman"/>
        <family val="1"/>
      </rPr>
      <t xml:space="preserve"> </t>
    </r>
  </si>
  <si>
    <r>
      <t xml:space="preserve">Historical &amp; Current </t>
    </r>
    <r>
      <rPr>
        <b/>
        <sz val="12"/>
        <color theme="1"/>
        <rFont val="Times New Roman"/>
        <family val="1"/>
      </rPr>
      <t>Shoreline</t>
    </r>
    <r>
      <rPr>
        <sz val="12"/>
        <color theme="1"/>
        <rFont val="Times New Roman"/>
        <family val="1"/>
      </rPr>
      <t xml:space="preserve"> Change Analysis </t>
    </r>
  </si>
  <si>
    <r>
      <rPr>
        <b/>
        <sz val="12"/>
        <color theme="1"/>
        <rFont val="Times New Roman"/>
        <family val="1"/>
      </rPr>
      <t>Renewable Energy</t>
    </r>
    <r>
      <rPr>
        <sz val="12"/>
        <color theme="1"/>
        <rFont val="Times New Roman"/>
        <family val="1"/>
      </rPr>
      <t xml:space="preserve"> Audit Program REAP-CIS</t>
    </r>
  </si>
  <si>
    <t>Phylogenetic Study of Serianthes-CIS</t>
  </si>
  <si>
    <t xml:space="preserve">U54 Supplemental </t>
  </si>
  <si>
    <r>
      <rPr>
        <b/>
        <sz val="12"/>
        <color theme="1"/>
        <rFont val="Times New Roman"/>
        <family val="1"/>
      </rPr>
      <t>Biomonitor</t>
    </r>
    <r>
      <rPr>
        <sz val="12"/>
        <color theme="1"/>
        <rFont val="Times New Roman"/>
        <family val="1"/>
      </rPr>
      <t xml:space="preserve"> Support for Natural Resource Management Surveys at Joint Region Marianas Area of Responsibility-CESU</t>
    </r>
  </si>
  <si>
    <t xml:space="preserve">Guam Cancer Trust Fund </t>
  </si>
  <si>
    <r>
      <rPr>
        <b/>
        <sz val="12"/>
        <color theme="1"/>
        <rFont val="Times New Roman"/>
        <family val="1"/>
      </rPr>
      <t>Sea Turtle</t>
    </r>
    <r>
      <rPr>
        <sz val="12"/>
        <color theme="1"/>
        <rFont val="Times New Roman"/>
        <family val="1"/>
      </rPr>
      <t xml:space="preserve"> Aerial Surveys in Faralon De Medinilla (FDM) Nearshore Waters-CESU</t>
    </r>
  </si>
  <si>
    <t>Tasi Beach Guide-CIS</t>
  </si>
  <si>
    <t xml:space="preserve">This project will implement INRMP action strategies to determine the temporal and spatial profile of water quality in Apra Harbor, Haputo and Orote Peninsula ecological reserve areas (ERAs), and Naval Support Activity Andersen Air Force Base (NSAA) submerged lands. </t>
  </si>
  <si>
    <t>This project will implement INRMP action strategies to determine the temporal and spatial profile of water quality in Apra Harbor, Haputo and Orote Peninsula ecological reserve areas (ERAs), and Naval Support Activity Andersen Air Force Base (NSAA) submerged lands.</t>
  </si>
  <si>
    <r>
      <rPr>
        <b/>
        <sz val="12"/>
        <color theme="1"/>
        <rFont val="Times New Roman"/>
        <family val="1"/>
      </rPr>
      <t>Pacific Regional Center Cancer Registry-</t>
    </r>
    <r>
      <rPr>
        <sz val="12"/>
        <color theme="1"/>
        <rFont val="Times New Roman"/>
        <family val="1"/>
      </rPr>
      <t>PRCCR</t>
    </r>
  </si>
  <si>
    <r>
      <rPr>
        <b/>
        <sz val="12"/>
        <color theme="1"/>
        <rFont val="Times New Roman"/>
        <family val="1"/>
      </rPr>
      <t>U54</t>
    </r>
    <r>
      <rPr>
        <sz val="12"/>
        <color theme="1"/>
        <rFont val="Times New Roman"/>
        <family val="1"/>
      </rPr>
      <t xml:space="preserve"> Partnership Cancer Grant UH/UOG (5-Yr)  </t>
    </r>
  </si>
  <si>
    <t>Alicia Borja</t>
  </si>
  <si>
    <t>President's buyout</t>
  </si>
  <si>
    <t>Will work with Children's Healthy Living Center of Excellence (CHL Center) rto collect child health data on Guam (n=250) during year 3, facilitate academic and outreach training, and support CHL intervention dissemination in Guam and in collaboration with partners in the region.</t>
  </si>
  <si>
    <t>Children's Healthy Living Center of Excellence (CHL Center)</t>
  </si>
  <si>
    <t>8/31/2022</t>
  </si>
  <si>
    <t>2018-69001-27551</t>
  </si>
  <si>
    <t>USDA-NIFA/UH</t>
  </si>
  <si>
    <t>Training and Technical Support of UOG Faculty Developing STEM Courses for Online Delivery</t>
  </si>
  <si>
    <t>The emphasis of this project will be to train and support faculty on the best practices of developing science courses for online delivery.  This will lead to an increase on the number of science courses delivered online enabling a greater number of students to gain knowledge in STEM subjects</t>
  </si>
  <si>
    <t>2018-70004-28686</t>
  </si>
  <si>
    <t>NOAA-BSP</t>
  </si>
  <si>
    <t>Comprehensive Coral Reef Monitoring at Long Term Sites on Guam</t>
  </si>
  <si>
    <t>64-1F-413427-R</t>
  </si>
  <si>
    <t>W180900002</t>
  </si>
  <si>
    <t>2/12/18</t>
  </si>
  <si>
    <t>David Burdick</t>
  </si>
  <si>
    <t>Arretta Ann Card</t>
  </si>
  <si>
    <t>Guam Water Kids: Protecting Guam's Fresh Water-Prutehi I Hanom Freskon Guahan</t>
  </si>
  <si>
    <t>2/26/20</t>
  </si>
  <si>
    <t xml:space="preserve">Biological control on mile-a-minute (Mikania micrantha) in Guam and the CNMI </t>
  </si>
  <si>
    <t>USDA-APHIS-CAPS</t>
  </si>
  <si>
    <t xml:space="preserve">Continued Surveillance of Citrus Pests and Huanglongbing Disease in the Mariana Islands of Guam, Saipan, Tinian and Rota/APP-6519 </t>
  </si>
  <si>
    <t>9/1/2018</t>
  </si>
  <si>
    <t>CNAS-WPTRC</t>
  </si>
  <si>
    <t>Continued Surveillance of harmful exotic and invasive ants in Guam and the Mariana Islands/APP-6599</t>
  </si>
  <si>
    <t>9/1/18</t>
  </si>
  <si>
    <t>Continued Surveilance of Insect Pests in Ornamental and Landscape Nurseries in the Mariana Islands/APP-5862</t>
  </si>
  <si>
    <t>National Survey of Honey Bee Pests and Diseases/APP-5863</t>
  </si>
  <si>
    <t>30-2F-311045-R</t>
  </si>
  <si>
    <t>30-2F-311018-R</t>
  </si>
  <si>
    <t>30-2F-311017-R</t>
  </si>
  <si>
    <t>30-2F-311016-R</t>
  </si>
  <si>
    <t>NSF/MAA</t>
  </si>
  <si>
    <t>Use fish DNA to create a new predictive fisheries management tool for Micronesia.</t>
  </si>
  <si>
    <t>DOC/NOAA-BSP</t>
  </si>
  <si>
    <t>USDA-AMS/BBMR-DOAg</t>
  </si>
  <si>
    <t>Development of Skilled Workforce for Orchid Nurseries on Guam</t>
  </si>
  <si>
    <t>WR181600-006</t>
  </si>
  <si>
    <t>6/1/2018</t>
  </si>
  <si>
    <t>9/29/2020</t>
  </si>
  <si>
    <t>Alicia Wiecko</t>
  </si>
  <si>
    <t>Development if skilled workforce for Orchid Nurseries on Guam. Administer and manage project.</t>
  </si>
  <si>
    <t>Micropropagation of Guam's Native Trees</t>
  </si>
  <si>
    <t>18-DG-11052021-232</t>
  </si>
  <si>
    <t>08/31/2019</t>
  </si>
  <si>
    <t xml:space="preserve">This proposal will support the establishment of a collaborative micropropagation program that can produce increased quantities of Guam native trees for the urban landscape. A prioritized list of native species will be developed in collaboration with the F&amp;SRD. The selection of which trees to propagate will be prioritized through the field visits and use of the Tree Plotter inventory database to select native plants exhibiting superior characteristics for use in the urban landscape. Genetic diversity will be maintained by intermixing clonal and seed propagated plants with different genotypes when outplanted. </t>
  </si>
  <si>
    <t>Pacific Island-WSARE</t>
  </si>
  <si>
    <t>2016-38640-25383</t>
  </si>
  <si>
    <t>04/1/2017</t>
  </si>
  <si>
    <t>Dr. Robert Barber</t>
  </si>
  <si>
    <t xml:space="preserve">The College of Micronesia (COM) serves 3 nations and 6 island groups over an area larger than continental United State, with 1 Substainable Agriculture, Research, and Education (SARE) Coordinator. Both the University of Guam (UOG) and COM SARE Coordinators are nearing retirement. There is a crucial need to build a network of trained Sustainable Agriculture professionals across these islands in the region, with a peer to peer communications network on island sustainable agriculture issues. In the trainings, a goal of increasing WSARE grant applications and educational materials usage on the islands can be addressed. This multi-institution, multi-state project between UOG and COM aims to recruit, train and support a network of agricultural professionals from seven islands to increase their expertise in sustainable agriculture. Participating islands include Guam, Pohnpei, Chuuk, Kosrae, Yap, Marshall Islands, and Palau. </t>
  </si>
  <si>
    <t>USDA- APHIS-PPQ</t>
  </si>
  <si>
    <t>Oryctes Rhinoceros Nudivirus for Biocontrol of the Guam Biotype of the Coconut Rhinoceros Beetle</t>
  </si>
  <si>
    <t>8/1/2018</t>
  </si>
  <si>
    <t>7/31/2019</t>
  </si>
  <si>
    <t>The objective of this project is to stop an uncontrolled outbreak of coconut rhinoceros beetle biotype G which is rapidly killing palms on Guam.</t>
  </si>
  <si>
    <t>Biological Control Asian Citrus Psylid, Diaphorina Citri, On Guam/APP-5841</t>
  </si>
  <si>
    <t>Obtain import permits and import natural enemies of the Asian citrus psylid to Guam from reading facilities in the United States and Brazil.</t>
  </si>
  <si>
    <t>Environmental Education Outreach and Awareness on Naval Base Guam</t>
  </si>
  <si>
    <t>30-2F-311096-R</t>
  </si>
  <si>
    <t>N40192-18-2-8005</t>
  </si>
  <si>
    <t>9/17/2018</t>
  </si>
  <si>
    <t>9/16/2019</t>
  </si>
  <si>
    <t>Fran Castro</t>
  </si>
  <si>
    <t>This project will develop, design and produce/print custom outreach materials for Public Works EV, Naval Base Guam.</t>
  </si>
  <si>
    <t>N40192-18-2-8007</t>
  </si>
  <si>
    <t>9/19/2018</t>
  </si>
  <si>
    <t>3/18/2020</t>
  </si>
  <si>
    <t>1.) Conduct surveys for ten (10) native forest birds on the Tinian MLA following protocol and transects used by USFWS for Tinian Monarch post-delisting monitoring. 2.) Monitoring and Species Biology: a.) Incorporate actions outlined in the draft Tinian Monarch Post-Delisting Monitoring Plan which include large-scale variable circular plot surveys. b.) Investigate the status of viability of the Tinian monarch and enable analysis of population trends and species' biology to enhance and conserve populations. c.) Assess impacts from predators and apply predator control measures, if appropriate, to improve nesting success and junevile and adult survival.</t>
  </si>
  <si>
    <t>Guam Restoration of Watersheds: GROW Ugum</t>
  </si>
  <si>
    <t>NR1892510002G001</t>
  </si>
  <si>
    <t xml:space="preserve">Funding from this task will suport a revegetation project in the Ugum watershed with the use of a drone and volunteers. It will allow us to expand the GROW nursery at CIS, and hire a part-time project manager. The project will involve community volunteers who will be compensated with a stipend to assist with the planting event scheduled for July, 2019. </t>
  </si>
  <si>
    <t>Micronesia Conservation Trust</t>
  </si>
  <si>
    <t>MCT VI: Advancing Science to Managemet Feedback Loops to Prioritize Stressors on Coral Reef Ecosystems</t>
  </si>
  <si>
    <t>MCT1035NOAA201808</t>
  </si>
  <si>
    <t>10/1/2018</t>
  </si>
  <si>
    <t>The benefit of expending science-to-management frameworks for coral reef ecosystems across Micronesia program…</t>
  </si>
  <si>
    <t>Biological control on mile-a-minute (Mikania micrantha) in Guam and the CNMI</t>
  </si>
  <si>
    <t>Environmental Education Outreach and Awareness on Naval Base Guam-CESU/CIS</t>
  </si>
  <si>
    <t>Forest Bird Monitoring &amp; Assessment on Tinian Joint Region Marianas (JRM) Leased Lands-CESU</t>
  </si>
  <si>
    <t>USDA-NRCS</t>
  </si>
  <si>
    <t>30-2F-315046-R</t>
  </si>
  <si>
    <t>30-2F-311091-R</t>
  </si>
  <si>
    <t>30-2F-311095-R</t>
  </si>
  <si>
    <t>30-2F-311093-R</t>
  </si>
  <si>
    <t>30-2F-311090-R</t>
  </si>
  <si>
    <t>30-2F-311092-R</t>
  </si>
  <si>
    <t>30-2F-311094-R</t>
  </si>
  <si>
    <t>30-2F-311097-P</t>
  </si>
  <si>
    <t xml:space="preserve"> 30-2F-311097-P</t>
  </si>
  <si>
    <t>30-2F-311089-R</t>
  </si>
  <si>
    <t>30-2F-315049-</t>
  </si>
  <si>
    <t>30-2F-315048-</t>
  </si>
  <si>
    <t>CNCS/SGC</t>
  </si>
  <si>
    <t>63-2K-433002-R</t>
  </si>
  <si>
    <t>CNMI PSS</t>
  </si>
  <si>
    <t>PI's Unit</t>
  </si>
  <si>
    <t>Competitive or Non-competitive</t>
  </si>
  <si>
    <t>NC</t>
  </si>
  <si>
    <t>C</t>
  </si>
  <si>
    <t xml:space="preserve">CNAS  </t>
  </si>
  <si>
    <t>Guam Cedders</t>
  </si>
  <si>
    <t xml:space="preserve">CNAS-CES </t>
  </si>
  <si>
    <t>Marine Lab</t>
  </si>
  <si>
    <t>EPSCoR</t>
  </si>
  <si>
    <t>To assemble and prepare the data sets; identify climatic phenomena and geological features that are most likely to exert sigificant control on rainfall amont and intensity, infiltration rates, aquifer storage, groundwater flow, and groundwater salinity on northern Guam; and apply statistical, geospatial,and other analytical tools to identify, characterize and interpret past and present spatial patterns in rainfall, groundwater levels, specific conductivity, ph</t>
  </si>
  <si>
    <t>MARC</t>
  </si>
  <si>
    <t>Dr. Austin Shelton
Dr. Cheryl Sangueza
Else Demeulenaere</t>
  </si>
  <si>
    <t>W911KB-18-2-7000</t>
  </si>
  <si>
    <t>MGT-Invasive Vegetation (Ironwood), Wake Island-CESU</t>
  </si>
  <si>
    <t>Dr. Robert Schlub</t>
  </si>
  <si>
    <t>3/29/2020</t>
  </si>
  <si>
    <t>To develop an environmental assessment that evaluate various means of physically removing a large area of invasive vegetation (mostly ironwood trees, Casuarina equisetifolia) on Wake Island.</t>
  </si>
  <si>
    <t>USACE-Alaska</t>
  </si>
  <si>
    <t>USACE</t>
  </si>
  <si>
    <t>US Army Corps of Engineers</t>
  </si>
  <si>
    <t>US Department of Agriculture Forest Service</t>
  </si>
  <si>
    <t>USDA/RCUH</t>
  </si>
  <si>
    <t>30-1F-315050-R</t>
  </si>
  <si>
    <t>DOD-DON</t>
  </si>
  <si>
    <r>
      <rPr>
        <b/>
        <sz val="12"/>
        <color theme="1"/>
        <rFont val="Times New Roman"/>
        <family val="1"/>
      </rPr>
      <t>NASA RID</t>
    </r>
    <r>
      <rPr>
        <sz val="12"/>
        <color theme="1"/>
        <rFont val="Times New Roman"/>
        <family val="1"/>
      </rPr>
      <t xml:space="preserve"> Guam EPSCoR Research Infrasturcture Development -</t>
    </r>
    <r>
      <rPr>
        <b/>
        <sz val="12"/>
        <color theme="1"/>
        <rFont val="Times New Roman"/>
        <family val="1"/>
      </rPr>
      <t xml:space="preserve"> </t>
    </r>
    <r>
      <rPr>
        <sz val="12"/>
        <color theme="1"/>
        <rFont val="Times New Roman"/>
        <family val="1"/>
      </rPr>
      <t>(1-Yr, extended)</t>
    </r>
  </si>
  <si>
    <r>
      <rPr>
        <b/>
        <sz val="12"/>
        <color theme="1"/>
        <rFont val="Times New Roman"/>
        <family val="1"/>
      </rPr>
      <t>NASA RID</t>
    </r>
    <r>
      <rPr>
        <sz val="12"/>
        <color theme="1"/>
        <rFont val="Times New Roman"/>
        <family val="1"/>
      </rPr>
      <t xml:space="preserve"> Guam EPSCoR Research Infrasturcture Development - (1-Yr, extended)</t>
    </r>
  </si>
  <si>
    <r>
      <rPr>
        <b/>
        <sz val="12"/>
        <color theme="1"/>
        <rFont val="Times New Roman"/>
        <family val="1"/>
      </rPr>
      <t>Geocore</t>
    </r>
    <r>
      <rPr>
        <sz val="12"/>
        <color theme="1"/>
        <rFont val="Times New Roman"/>
        <family val="1"/>
      </rPr>
      <t xml:space="preserve">: Geospatial Studies of Reef Ecology and Health using Sattelite and Airborne Data - </t>
    </r>
    <r>
      <rPr>
        <b/>
        <sz val="12"/>
        <color theme="1"/>
        <rFont val="Times New Roman"/>
        <family val="1"/>
      </rPr>
      <t>NASA CAN</t>
    </r>
  </si>
  <si>
    <t>DOI/USFWS</t>
  </si>
  <si>
    <r>
      <t xml:space="preserve">Vegetation Restoration for the </t>
    </r>
    <r>
      <rPr>
        <b/>
        <sz val="12"/>
        <color theme="1"/>
        <rFont val="Times New Roman"/>
        <family val="1"/>
      </rPr>
      <t>Habitat Management Unit,</t>
    </r>
    <r>
      <rPr>
        <sz val="12"/>
        <color theme="1"/>
        <rFont val="Times New Roman"/>
        <family val="1"/>
      </rPr>
      <t xml:space="preserve"> Andersen Air Force Base-CESU</t>
    </r>
  </si>
  <si>
    <r>
      <t xml:space="preserve">Phylogenetic Study of </t>
    </r>
    <r>
      <rPr>
        <b/>
        <sz val="12"/>
        <color theme="1"/>
        <rFont val="Times New Roman"/>
        <family val="1"/>
      </rPr>
      <t>Serianthes</t>
    </r>
    <r>
      <rPr>
        <sz val="12"/>
        <color theme="1"/>
        <rFont val="Times New Roman"/>
        <family val="1"/>
      </rPr>
      <t>-CESU</t>
    </r>
  </si>
  <si>
    <r>
      <rPr>
        <b/>
        <sz val="12"/>
        <color theme="1"/>
        <rFont val="Times New Roman"/>
        <family val="1"/>
      </rPr>
      <t>PICSC HOST</t>
    </r>
    <r>
      <rPr>
        <sz val="12"/>
        <color theme="1"/>
        <rFont val="Times New Roman"/>
        <family val="1"/>
      </rPr>
      <t xml:space="preserve"> - Pacific Islands Climate Science Center (PT-UH)</t>
    </r>
  </si>
  <si>
    <r>
      <t>Pacific Cancer Registry</t>
    </r>
    <r>
      <rPr>
        <sz val="12"/>
        <color theme="1"/>
        <rFont val="Times New Roman"/>
        <family val="1"/>
      </rPr>
      <t xml:space="preserve"> (PT-UH)</t>
    </r>
  </si>
  <si>
    <r>
      <t xml:space="preserve">Mapping of Guam's Priority </t>
    </r>
    <r>
      <rPr>
        <b/>
        <sz val="12"/>
        <color theme="1"/>
        <rFont val="Times New Roman"/>
        <family val="1"/>
      </rPr>
      <t>Coral Reefs</t>
    </r>
    <r>
      <rPr>
        <sz val="12"/>
        <color theme="1"/>
        <rFont val="Times New Roman"/>
        <family val="1"/>
      </rPr>
      <t xml:space="preserve"> (PT)</t>
    </r>
  </si>
  <si>
    <r>
      <rPr>
        <b/>
        <sz val="12"/>
        <color theme="1"/>
        <rFont val="Times New Roman"/>
        <family val="1"/>
      </rPr>
      <t>Guam Cancer Registry</t>
    </r>
    <r>
      <rPr>
        <sz val="12"/>
        <color theme="1"/>
        <rFont val="Times New Roman"/>
        <family val="1"/>
      </rPr>
      <t xml:space="preserve"> (PT)</t>
    </r>
  </si>
  <si>
    <t>GG-DPHSS</t>
  </si>
  <si>
    <r>
      <t xml:space="preserve">Guam Cancer Trust Fund </t>
    </r>
    <r>
      <rPr>
        <sz val="12"/>
        <color theme="1"/>
        <rFont val="Times New Roman"/>
        <family val="1"/>
      </rPr>
      <t>(PT)</t>
    </r>
  </si>
  <si>
    <t>GovGuam</t>
  </si>
  <si>
    <r>
      <rPr>
        <b/>
        <sz val="12"/>
        <color theme="1"/>
        <rFont val="Times New Roman"/>
        <family val="1"/>
      </rPr>
      <t xml:space="preserve">Building Reef </t>
    </r>
    <r>
      <rPr>
        <sz val="12"/>
        <color theme="1"/>
        <rFont val="Times New Roman"/>
        <family val="1"/>
      </rPr>
      <t>Resilience through Environmental Education-CIS (PT)</t>
    </r>
  </si>
  <si>
    <t>Business Resiliency Workshop - OOG/OIA (PT)</t>
  </si>
  <si>
    <r>
      <t xml:space="preserve">Climate Change Assestment </t>
    </r>
    <r>
      <rPr>
        <sz val="12"/>
        <color theme="1"/>
        <rFont val="Times New Roman"/>
        <family val="1"/>
      </rPr>
      <t>(PT)</t>
    </r>
  </si>
  <si>
    <t>Tasi Beach Guide- CIS (PT)</t>
  </si>
  <si>
    <t>U54 Supplemental (PT)</t>
  </si>
  <si>
    <t>NIH/UH</t>
  </si>
  <si>
    <t>Business Resiliency Workshop-OOG/OIA (PT)</t>
  </si>
  <si>
    <r>
      <t>Climate Change Assestment</t>
    </r>
    <r>
      <rPr>
        <sz val="12"/>
        <color theme="1"/>
        <rFont val="Times New Roman"/>
        <family val="1"/>
      </rPr>
      <t xml:space="preserve"> (PT)</t>
    </r>
  </si>
  <si>
    <r>
      <t xml:space="preserve">Historical &amp; Current </t>
    </r>
    <r>
      <rPr>
        <b/>
        <sz val="12"/>
        <color theme="1"/>
        <rFont val="Times New Roman"/>
        <family val="1"/>
      </rPr>
      <t>Shoreline</t>
    </r>
    <r>
      <rPr>
        <sz val="12"/>
        <color theme="1"/>
        <rFont val="Times New Roman"/>
        <family val="1"/>
      </rPr>
      <t xml:space="preserve"> Change Analysis (PT)</t>
    </r>
  </si>
  <si>
    <t>Sea Grant Knauss Fellow-Lauren Swaddell</t>
  </si>
  <si>
    <t>NOAA-OAR-SG-2018-2005447</t>
  </si>
  <si>
    <t>2/2019</t>
  </si>
  <si>
    <t>2/2020</t>
  </si>
  <si>
    <t>Ms. Swaddell was selected by the NOAA Coral Reef Conservation Program in Washington DC to be her host agency where she will work for a period of 12 months starting February 2019 to February 2020.</t>
  </si>
  <si>
    <t>NOAA-CRCP</t>
  </si>
  <si>
    <r>
      <t xml:space="preserve">Renewable Energy Audit Program </t>
    </r>
    <r>
      <rPr>
        <b/>
        <sz val="12"/>
        <color theme="1"/>
        <rFont val="Times New Roman"/>
        <family val="1"/>
      </rPr>
      <t>REAP</t>
    </r>
    <r>
      <rPr>
        <sz val="12"/>
        <color theme="1"/>
        <rFont val="Times New Roman"/>
        <family val="1"/>
      </rPr>
      <t>-CIS</t>
    </r>
  </si>
  <si>
    <t>NSF/IOA-LSAMP</t>
  </si>
  <si>
    <t>IOA-LSAMP STEM Pathaways and Research Alliance: Island of Opportunity Alliance</t>
  </si>
  <si>
    <t>1826864/HI1456</t>
  </si>
  <si>
    <t>This project is designed to enhance UOG's undergraduate participation and success in STEM fields by providing student internships during the academic year, and in coordinating research and educational activities across the IOA-LSAMP member institutions.</t>
  </si>
  <si>
    <t>1/1/2019</t>
  </si>
  <si>
    <t>12/1/2019</t>
  </si>
  <si>
    <t>Dr. Lilnabeth Somera</t>
  </si>
  <si>
    <t>The American Cancer Society, UOG Research Center/Community Outreach Core and the Guam Comprehensive Cancer Control Coalition will work together on this collaborative cancer control project to implement identified evidence based on interventions and systems practice/policy change strategies to increase colorectal screening rates. UOG COC and the ACS Staff agree to meet at least quarterly and more often to the date of the event to monitor progress of the project and make changes or improvements necessary to achieve the project deliverables.</t>
  </si>
  <si>
    <t>NIH/URI</t>
  </si>
  <si>
    <t>Across the Island of Guam, there is widespread contamination of drinking water by perfluoro-alkyl substances (PFASs). This project will test passive PFAS samplers as a screening tool to detect the transport and fate of PFASs across streams and soils to better characterize the occurrence and transport pathways of PFASs on the island. The proposed work is to investigate PFAS contamination sites, install the PFAS samplers, collect water samples during both wet and dry seasons, and analyze PFAS concentrations.</t>
  </si>
  <si>
    <t>Hydrogoelogic Assessment of the Suspected Sinkhole 'AC15 NIC area' Site in J 001B Finegayan Utilities and Site Improvements Project, Phase 1, Guam</t>
  </si>
  <si>
    <t>John W. Jenson</t>
  </si>
  <si>
    <t>This project is aimed at hydrological field evaluation of the suspected sinkhole 'AC15 NIC area' to be cleared for the planned J-0011B Finegayan Utilities and Site Improvements Project, Phase 1. Main tasks of this projects are to 1) conduct GIS terrain analysis to determine if there are suspect sinkholes present in the AC15 NIC area that might necessitate relocation of planned roads or structures and 2) make a field-based hydrogeologic assessment of the suspect sinkhole site to determine a hydrologically or structurally significant sinkhole.</t>
  </si>
  <si>
    <t>DR. Ross Miller</t>
  </si>
  <si>
    <r>
      <rPr>
        <b/>
        <sz val="10"/>
        <rFont val="Times New Roman"/>
        <family val="1"/>
      </rPr>
      <t xml:space="preserve">IOA-LSAMP STEM </t>
    </r>
    <r>
      <rPr>
        <sz val="10"/>
        <rFont val="Times New Roman"/>
        <family val="1"/>
      </rPr>
      <t>Pathaways and Research Alliance: Island of Opportunity Alliance</t>
    </r>
  </si>
  <si>
    <t>TITLE (PROJECT NAME)</t>
  </si>
  <si>
    <t>Guam Health Providers Cancer Symposium</t>
  </si>
  <si>
    <t>1/2019</t>
  </si>
  <si>
    <t>12/2019</t>
  </si>
  <si>
    <t>American Cancer Society</t>
  </si>
  <si>
    <t>Sea Grant Knauss Fellow-Lauren Swaddell (CRCP:Coral Reef Conservation Program)</t>
  </si>
  <si>
    <t>0007136/12262018</t>
  </si>
  <si>
    <t>CI-STEEP-Sources Transport, Exposure and Effects of Perfluorakyl. (URI: Univeristy of Rhode Isand)</t>
  </si>
  <si>
    <t>CI-STEEP-Sources Transport, Exposure and Effects of Perfluorakyl (URI: University of Rhode Island)</t>
  </si>
  <si>
    <t>Granite-Obayashi Construction</t>
  </si>
  <si>
    <t>N62742-17-C-1324</t>
  </si>
  <si>
    <t>NSF-NASA</t>
  </si>
  <si>
    <t>11/1/18</t>
  </si>
  <si>
    <t>5/31/19</t>
  </si>
  <si>
    <t>Maintenance, biweekly inspection, and data transfer of near shore sensor in Pago Bay.</t>
  </si>
  <si>
    <t>5101H180930EI115280</t>
  </si>
  <si>
    <t>To initiate a beach watch program for Tumon and Agana bays allow for guides to deliver outreach on coral reef, and documenting human uses of the bay to determine socioeconomic factors in these orime locations. Through this project we will also develop an outreach toolbox for the guides to use while monitoring these beaches. An app will also be developed to empower the community to report violations of marine protected area regulations, littering, etc. The attached MOU was finalized and transmitted to Sea Grant on February 14, 2019.</t>
  </si>
  <si>
    <t>8/1/2017</t>
  </si>
  <si>
    <t>Dr. Glenn Dulla</t>
  </si>
  <si>
    <t>Outreach and education to inform public on how to reduce the impact of the LFA invasive species.</t>
  </si>
  <si>
    <t xml:space="preserve"> </t>
  </si>
  <si>
    <t>NOAA/RCUH</t>
  </si>
  <si>
    <t>NA16NOS0120024     Z10129876-04</t>
  </si>
  <si>
    <t>PACIOOS Outreach and Management</t>
  </si>
  <si>
    <t>NA16NOS0120024  Z10129876-04</t>
  </si>
  <si>
    <t>Tasi Guides Program-SG</t>
  </si>
  <si>
    <t>DOI/GDA</t>
  </si>
  <si>
    <t>D17AP00106</t>
  </si>
  <si>
    <t>Little Fire Ant Outreach Start Up (Guam Dept of Agriculture)</t>
  </si>
  <si>
    <t>SENG</t>
  </si>
  <si>
    <t>D18AP00172</t>
  </si>
  <si>
    <t>8/1/18</t>
  </si>
  <si>
    <t>This project will focus on the indirect assessment of the shallow slope failures/landslides from rainfall events in the Piti-Asan watershed located in Southern Guam. The plan will include: (1) a review of existing physical and environmental characteristics of the watersheds; (2) acquiring measurements of rainfall in the watershed; (3) Geotechnical investigations will include the particular, the laboratory development of soil water retention curves (SWRC i.e., soil moisture-suction profiles) from soil samples collected along with hill slopes; (4) Using SWRC's to indirectly calculate unsaturated soil permeability values; (5) performing shallow slope stability models; (6) and, provide geotechnical recommendations to prevent landslide/slope failure to improve watershed management strategies. The outcomes from this study will have practical applications to other watersheds in other islands around Guam.</t>
  </si>
  <si>
    <t>Geotechnical Investigation of Rainfall-induced landslides in Piti-Asan Watershed</t>
  </si>
  <si>
    <t>Dr. Shahram Khosrowpanah</t>
  </si>
  <si>
    <t>30-1F-315056-P</t>
  </si>
  <si>
    <t>30-1F-315054-P</t>
  </si>
  <si>
    <t>30-1F-315055-P</t>
  </si>
  <si>
    <t>30-2/1F-311077-R</t>
  </si>
  <si>
    <t>NSF-NASA/UH</t>
  </si>
  <si>
    <t>To create continuous and sustainable workshops and training sessions that enhance institutional capacity through innovative partnerships between the Pacific Minority Serving Institutions (MSI).</t>
  </si>
  <si>
    <t>NASA MUSIC</t>
  </si>
  <si>
    <t>NSF-MAA</t>
  </si>
  <si>
    <t>HRSA-19-008</t>
  </si>
  <si>
    <t>The purpose of this program is to improve health outcome for older adults by developing a healthcare workforce that maximizes patient and family engagement, and by integrating geriatrics and primary care.</t>
  </si>
  <si>
    <t>MARI</t>
  </si>
  <si>
    <t>Identifying key reef sites for the management and conservation of coral genetic diversity and resilience</t>
  </si>
  <si>
    <t>Dr. David Combosch</t>
  </si>
  <si>
    <t>PIP</t>
  </si>
  <si>
    <t>Promoting Health in Guam's Middle Scholls</t>
  </si>
  <si>
    <t>To improve the health of middle school students by providing training and resources on nutrition and physical activity to over 100 middle school teachers in nine schools, and direct impact on over 6500 middle school students on Guam.</t>
  </si>
  <si>
    <t>Amanda Blas</t>
  </si>
  <si>
    <t>10/2019</t>
  </si>
  <si>
    <t>9/2020</t>
  </si>
  <si>
    <t>This project aims to address how complex hunter-gatherers sustained large villages along the South China Coast for 2 millennia. About 7000 years ago, the people and landscape of this region began a long journey of transformation that forms the subject of a new proposed interdisciplinary study of archaeology with archaeobotany, palaleo-landscaping reconstruction, and bio-archaeology. The investigation seeks to learn how these early coastal societies contributed to regional social-economic developments, and in context of world cultural history, dating to a time long prior to written chronicles. The results may support new comprehension of these unique coastal communities and their relations with others in the broader Asia-Pacific.</t>
  </si>
  <si>
    <t>ANU-ARC</t>
  </si>
  <si>
    <t>ARC Project - Prosperity Along the Sea in the Asia Pacific at 5000-3000BC</t>
  </si>
  <si>
    <t>ARC DP190101839</t>
  </si>
  <si>
    <t>Dr. Michael Carson</t>
  </si>
  <si>
    <t>During the 7 weeks, from May 28, 2018 to July 15, 2018, we will engage 5 Pacific Islanders student in research projects. Five undergraduate students from University of Guam. The students will work under the supervision of a project director Hyunju Oh. Hideo Nagahasi will lead with Dr. Oh the students. We will introduce the students to the fundamental game-theoretical concepts such as Nash equilibria and evolutionarily stable strategy and teach them how to use computational tools (NetLogo), as well as analytical tools (optimization and linear algebra) to identify such strategies in real game theoretical models with application in medicine - "vaccination games" where individuals have to make decisions whether to protect themselves from infectious diseases by taking costly actions such as taking a vaccine.</t>
  </si>
  <si>
    <t>NREUP - National Research Experience for Undergraduates Program</t>
  </si>
  <si>
    <t>DMS-1652506</t>
  </si>
  <si>
    <t>GRANT12776294</t>
  </si>
  <si>
    <t>SOH</t>
  </si>
  <si>
    <t>MAP 2019: The Road to Excellent Facility Management</t>
  </si>
  <si>
    <t>Randall V Wiegand</t>
  </si>
  <si>
    <t>ADFI ???</t>
  </si>
  <si>
    <t>8/1/20</t>
  </si>
  <si>
    <t>1/31/21</t>
  </si>
  <si>
    <t>NOAA-NFWF</t>
  </si>
  <si>
    <t>Treating LFA infested forest and utilize drone technology to assist in eradication efforts.</t>
  </si>
  <si>
    <t>Drone Start Up for Eradication of Little Fire Ant Management in Coral Conservation Area</t>
  </si>
  <si>
    <t>D18AP00180</t>
  </si>
  <si>
    <t>DOI-OIA/GDA</t>
  </si>
  <si>
    <t>30-1F-315057-P</t>
  </si>
  <si>
    <t>Boris Hertslet</t>
  </si>
  <si>
    <t>DOD-DLA</t>
  </si>
  <si>
    <r>
      <t xml:space="preserve">Guam </t>
    </r>
    <r>
      <rPr>
        <b/>
        <sz val="12"/>
        <color theme="1"/>
        <rFont val="Times New Roman"/>
        <family val="1"/>
      </rPr>
      <t>PTAC</t>
    </r>
  </si>
  <si>
    <t>30-2F-311099-R</t>
  </si>
  <si>
    <t>12/31/2020</t>
  </si>
  <si>
    <t>Denise Mendiola</t>
  </si>
  <si>
    <t>SBAHQ-19-B-0047</t>
  </si>
  <si>
    <t>HRSA-BHW</t>
  </si>
  <si>
    <t>Guam/Micronesia Geriatrics Workforce Enhancement Program</t>
  </si>
  <si>
    <t>Dr. Veronica Alave / Dr. Margaret Hattori-Uchima</t>
  </si>
  <si>
    <t>30-2/1F-311070-R ($556,075) 30-1F-311102-R ($58,327)</t>
  </si>
  <si>
    <t>Children's Healthy Living Center of Excellence (CHL Center) - 5yr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</si>
</sst>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164" formatCode="_-&quot;$&quot;* #,##0.00_-;\-&quot;$&quot;* #,##0.00_-;_-&quot;$&quot;* &quot;-&quot;??_-;_-@_-"/>
    <numFmt numFmtId="165" formatCode="[$-409]mmmm\ d\,\ yyyy;@"/>
    <numFmt numFmtId="166" formatCode="0.000"/>
    <numFmt numFmtId="167" formatCode="[$-409]d\-mmm\-yy;@"/>
  </numFmts>
  <fonts count="7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color theme="1"/>
      <name val="Calibri"/>
      <family val="2"/>
      <scheme val="minor"/>
    </font>
    <font>
      <u/>
      <sz val="11"/>
      <color theme="10"/>
      <name val="Calibri"/>
      <family val="2"/>
      <scheme val="minor"/>
    </font>
    <font>
      <sz val="11"/>
      <color theme="1"/>
      <name val="Calibri"/>
      <family val="2"/>
      <scheme val="minor"/>
    </font>
    <font>
      <b/>
      <sz val="7"/>
      <color theme="1"/>
      <name val="Calibri"/>
      <family val="2"/>
      <scheme val="minor"/>
    </font>
    <font>
      <sz val="7"/>
      <color theme="1"/>
      <name val="Calibri"/>
      <family val="2"/>
      <scheme val="minor"/>
    </font>
    <font>
      <sz val="7"/>
      <name val="Calibri"/>
      <family val="2"/>
      <scheme val="minor"/>
    </font>
    <font>
      <u/>
      <sz val="11"/>
      <color theme="11"/>
      <name val="Calibri"/>
      <family val="2"/>
      <scheme val="minor"/>
    </font>
    <font>
      <sz val="8"/>
      <name val="Calibri"/>
      <family val="2"/>
      <scheme val="minor"/>
    </font>
    <font>
      <sz val="9"/>
      <color indexed="81"/>
      <name val="Calibri"/>
      <family val="2"/>
    </font>
    <font>
      <b/>
      <sz val="9"/>
      <color indexed="81"/>
      <name val="Calibri"/>
      <family val="2"/>
    </font>
    <font>
      <b/>
      <sz val="12"/>
      <color theme="1"/>
      <name val="Times New Roman"/>
      <family val="1"/>
    </font>
    <font>
      <sz val="12"/>
      <color theme="1"/>
      <name val="Times New Roman"/>
      <family val="1"/>
    </font>
    <font>
      <b/>
      <sz val="12"/>
      <name val="Times New Roman"/>
      <family val="1"/>
    </font>
    <font>
      <sz val="12"/>
      <name val="Times New Roman"/>
      <family val="1"/>
    </font>
    <font>
      <b/>
      <sz val="12"/>
      <color rgb="FFFF0000"/>
      <name val="Times New Roman"/>
      <family val="1"/>
    </font>
    <font>
      <sz val="16"/>
      <color theme="1"/>
      <name val="Times New Roman"/>
      <family val="1"/>
    </font>
    <font>
      <sz val="16"/>
      <color rgb="FF000000"/>
      <name val="Times New Roman"/>
      <family val="1"/>
    </font>
    <font>
      <sz val="22"/>
      <color theme="1"/>
      <name val="Calibri"/>
      <family val="2"/>
      <scheme val="minor"/>
    </font>
    <font>
      <b/>
      <sz val="9"/>
      <color rgb="FF000000"/>
      <name val="Calibri"/>
      <family val="2"/>
    </font>
    <font>
      <sz val="9"/>
      <color rgb="FF000000"/>
      <name val="Calibri"/>
      <family val="2"/>
    </font>
    <font>
      <sz val="12"/>
      <name val="Arial"/>
      <family val="2"/>
    </font>
    <font>
      <sz val="10"/>
      <name val="Times New Roman"/>
      <family val="1"/>
    </font>
    <font>
      <sz val="12"/>
      <color rgb="FFFF0000"/>
      <name val="Times New Roman"/>
      <family val="1"/>
    </font>
    <font>
      <sz val="11"/>
      <name val="Times New Roman"/>
      <family val="1"/>
    </font>
    <font>
      <sz val="12"/>
      <color rgb="FF000000"/>
      <name val="Times New Roman"/>
      <family val="1"/>
    </font>
    <font>
      <b/>
      <sz val="11"/>
      <color theme="1"/>
      <name val="Calibri"/>
      <family val="2"/>
      <scheme val="minor"/>
    </font>
    <font>
      <sz val="11"/>
      <color theme="1"/>
      <name val="Times New Roman"/>
      <family val="1"/>
    </font>
    <font>
      <b/>
      <sz val="11"/>
      <color theme="1"/>
      <name val="Times New Roman"/>
      <family val="1"/>
    </font>
    <font>
      <sz val="11"/>
      <color rgb="FF000000"/>
      <name val="Arial Narrow"/>
      <family val="2"/>
    </font>
    <font>
      <sz val="12"/>
      <color rgb="FF0000FF"/>
      <name val="Times New Roman"/>
      <family val="1"/>
    </font>
    <font>
      <b/>
      <sz val="12"/>
      <color theme="1"/>
      <name val="Calibri"/>
      <family val="2"/>
      <scheme val="minor"/>
    </font>
    <font>
      <b/>
      <sz val="16"/>
      <color theme="1"/>
      <name val="Times New Roman"/>
      <family val="1"/>
    </font>
    <font>
      <b/>
      <sz val="18"/>
      <color theme="1"/>
      <name val="Times New Roman"/>
      <family val="1"/>
    </font>
    <font>
      <b/>
      <sz val="18"/>
      <color rgb="FF000000"/>
      <name val="Times New Roman"/>
      <family val="1"/>
    </font>
    <font>
      <b/>
      <sz val="8"/>
      <color theme="1"/>
      <name val="Calibri"/>
      <family val="2"/>
      <scheme val="minor"/>
    </font>
    <font>
      <sz val="10"/>
      <name val="Arial"/>
      <family val="2"/>
    </font>
    <font>
      <sz val="10"/>
      <color theme="1"/>
      <name val="Times New Roman"/>
      <family val="1"/>
    </font>
    <font>
      <b/>
      <sz val="10"/>
      <color theme="1"/>
      <name val="Times New Roman"/>
      <family val="1"/>
    </font>
    <font>
      <sz val="10"/>
      <color rgb="FF000000"/>
      <name val="Times New Roman"/>
      <family val="1"/>
    </font>
    <font>
      <sz val="10"/>
      <color theme="1"/>
      <name val="Calibri"/>
      <family val="2"/>
      <scheme val="minor"/>
    </font>
    <font>
      <b/>
      <sz val="10"/>
      <color theme="1"/>
      <name val="Calibri"/>
      <family val="2"/>
      <scheme val="minor"/>
    </font>
    <font>
      <sz val="22"/>
      <color rgb="FF0000FF"/>
      <name val="Calibri"/>
      <family val="2"/>
      <scheme val="minor"/>
    </font>
    <font>
      <b/>
      <sz val="20"/>
      <color theme="1"/>
      <name val="Times New Roman"/>
      <family val="1"/>
    </font>
    <font>
      <sz val="11"/>
      <color rgb="FF212121"/>
      <name val="Times New Roman"/>
      <family val="1"/>
    </font>
    <font>
      <sz val="20"/>
      <color theme="1"/>
      <name val="Times New Roman"/>
      <family val="1"/>
    </font>
    <font>
      <sz val="18"/>
      <color theme="1"/>
      <name val="Calibri"/>
      <family val="2"/>
      <scheme val="minor"/>
    </font>
    <font>
      <sz val="18"/>
      <color rgb="FFFF0000"/>
      <name val="Calibri"/>
      <family val="2"/>
      <scheme val="minor"/>
    </font>
    <font>
      <b/>
      <sz val="22"/>
      <color theme="1"/>
      <name val="Times New Roman"/>
      <family val="1"/>
    </font>
    <font>
      <sz val="7"/>
      <color rgb="FF0000FF"/>
      <name val="Calibri"/>
      <family val="2"/>
      <scheme val="minor"/>
    </font>
    <font>
      <sz val="16"/>
      <color rgb="FF0000FF"/>
      <name val="Times New Roman"/>
      <family val="1"/>
    </font>
    <font>
      <b/>
      <sz val="16"/>
      <color rgb="FF0000FF"/>
      <name val="Times New Roman"/>
      <family val="1"/>
    </font>
    <font>
      <sz val="16"/>
      <color rgb="FF0000FF"/>
      <name val="Calibri"/>
      <family val="2"/>
      <scheme val="minor"/>
    </font>
    <font>
      <b/>
      <sz val="16"/>
      <color rgb="FF0000FF"/>
      <name val="Calibri"/>
      <family val="2"/>
      <scheme val="minor"/>
    </font>
    <font>
      <b/>
      <sz val="18"/>
      <color rgb="FF0000FF"/>
      <name val="Times New Roman"/>
      <family val="1"/>
    </font>
    <font>
      <b/>
      <sz val="20"/>
      <color rgb="FF0000FF"/>
      <name val="Times New Roman"/>
      <family val="1"/>
    </font>
    <font>
      <sz val="10"/>
      <color rgb="FF212121"/>
      <name val="Times New Roman"/>
      <family val="1"/>
    </font>
    <font>
      <b/>
      <sz val="10"/>
      <name val="Times New Roman"/>
      <family val="1"/>
    </font>
    <font>
      <sz val="9"/>
      <color theme="1"/>
      <name val="Times New Roman"/>
      <family val="1"/>
    </font>
    <font>
      <b/>
      <sz val="9"/>
      <color theme="1"/>
      <name val="Times New Roman"/>
      <family val="1"/>
    </font>
    <font>
      <sz val="9"/>
      <name val="Times New Roman"/>
      <family val="1"/>
    </font>
    <font>
      <sz val="7"/>
      <color rgb="FFFF0000"/>
      <name val="Calibri"/>
      <family val="2"/>
      <scheme val="minor"/>
    </font>
    <font>
      <sz val="10"/>
      <color rgb="FFFF0000"/>
      <name val="Times New Roman"/>
      <family val="1"/>
    </font>
    <font>
      <sz val="9"/>
      <color rgb="FFFF0000"/>
      <name val="Times New Roman"/>
      <family val="1"/>
    </font>
    <font>
      <sz val="16"/>
      <color rgb="FFFF0000"/>
      <name val="Times New Roman"/>
      <family val="1"/>
    </font>
    <font>
      <sz val="8"/>
      <color rgb="FFFF0000"/>
      <name val="Calibri"/>
      <family val="2"/>
      <scheme val="minor"/>
    </font>
    <font>
      <sz val="16"/>
      <color rgb="FFFF0000"/>
      <name val="Calibri"/>
      <family val="2"/>
      <scheme val="minor"/>
    </font>
    <font>
      <sz val="10"/>
      <color theme="9" tint="0.59999389629810485"/>
      <name val="Times New Roman"/>
      <family val="1"/>
    </font>
    <font>
      <sz val="12"/>
      <color theme="9" tint="0.59999389629810485"/>
      <name val="Times New Roman"/>
      <family val="1"/>
    </font>
    <font>
      <b/>
      <sz val="12"/>
      <color theme="9" tint="0.59999389629810485"/>
      <name val="Times New Roman"/>
      <family val="1"/>
    </font>
    <font>
      <sz val="9"/>
      <color theme="9" tint="0.59999389629810485"/>
      <name val="Times New Roman"/>
      <family val="1"/>
    </font>
  </fonts>
  <fills count="10">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39994506668294322"/>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4"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ck">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thick">
        <color auto="1"/>
      </bottom>
      <diagonal/>
    </border>
    <border>
      <left/>
      <right/>
      <top style="thin">
        <color auto="1"/>
      </top>
      <bottom style="thin">
        <color auto="1"/>
      </bottom>
      <diagonal/>
    </border>
    <border>
      <left style="thin">
        <color auto="1"/>
      </left>
      <right/>
      <top style="thick">
        <color auto="1"/>
      </top>
      <bottom/>
      <diagonal/>
    </border>
    <border>
      <left/>
      <right/>
      <top style="thick">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ck">
        <color auto="1"/>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s>
  <cellStyleXfs count="336">
    <xf numFmtId="0" fontId="0" fillId="0" borderId="0"/>
    <xf numFmtId="0" fontId="5" fillId="0" borderId="0" applyNumberForma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33">
    <xf numFmtId="0" fontId="0" fillId="0" borderId="0" xfId="0"/>
    <xf numFmtId="0" fontId="4" fillId="0" borderId="0" xfId="0" applyFont="1"/>
    <xf numFmtId="0" fontId="8" fillId="0" borderId="0" xfId="0" applyFont="1"/>
    <xf numFmtId="0" fontId="7" fillId="0" borderId="0" xfId="0" applyFont="1" applyAlignment="1">
      <alignment horizontal="center" vertical="center" wrapText="1"/>
    </xf>
    <xf numFmtId="0" fontId="7" fillId="0" borderId="0" xfId="0" applyFont="1" applyAlignment="1">
      <alignment vertical="top" wrapText="1"/>
    </xf>
    <xf numFmtId="0" fontId="8" fillId="0" borderId="0" xfId="0" applyFont="1" applyAlignment="1">
      <alignment horizontal="left" vertical="top" wrapText="1"/>
    </xf>
    <xf numFmtId="0" fontId="0" fillId="0" borderId="0" xfId="0" applyAlignment="1">
      <alignment wrapText="1"/>
    </xf>
    <xf numFmtId="44" fontId="14" fillId="0" borderId="0" xfId="2" applyFont="1" applyAlignment="1">
      <alignment horizontal="center" vertical="center" wrapText="1"/>
    </xf>
    <xf numFmtId="0" fontId="14" fillId="0" borderId="0" xfId="0" applyFont="1" applyAlignment="1">
      <alignment vertical="top" wrapText="1"/>
    </xf>
    <xf numFmtId="42" fontId="14" fillId="2" borderId="3" xfId="0" applyNumberFormat="1" applyFont="1" applyFill="1" applyBorder="1" applyAlignment="1">
      <alignment vertical="top" wrapText="1"/>
    </xf>
    <xf numFmtId="44" fontId="14" fillId="0" borderId="0" xfId="2" applyFont="1" applyAlignment="1">
      <alignment vertical="top" wrapText="1"/>
    </xf>
    <xf numFmtId="0" fontId="15" fillId="0" borderId="0" xfId="0" applyFont="1" applyAlignment="1">
      <alignment horizontal="center"/>
    </xf>
    <xf numFmtId="165" fontId="15" fillId="0" borderId="0" xfId="0" applyNumberFormat="1" applyFont="1" applyAlignment="1">
      <alignment horizontal="left" vertical="top"/>
    </xf>
    <xf numFmtId="166" fontId="15" fillId="0" borderId="0" xfId="0" applyNumberFormat="1" applyFont="1" applyAlignment="1">
      <alignment horizontal="center"/>
    </xf>
    <xf numFmtId="49" fontId="15" fillId="0" borderId="0" xfId="0" applyNumberFormat="1" applyFont="1" applyAlignment="1">
      <alignment horizontal="right"/>
    </xf>
    <xf numFmtId="49" fontId="14" fillId="0" borderId="0" xfId="0" applyNumberFormat="1" applyFont="1" applyAlignment="1">
      <alignment horizontal="right"/>
    </xf>
    <xf numFmtId="0" fontId="15" fillId="0" borderId="0" xfId="0" applyFont="1" applyAlignment="1">
      <alignment horizontal="left" vertical="top" wrapText="1"/>
    </xf>
    <xf numFmtId="0" fontId="15" fillId="0" borderId="0" xfId="0" applyNumberFormat="1" applyFont="1" applyAlignment="1">
      <alignment horizontal="center"/>
    </xf>
    <xf numFmtId="167" fontId="15" fillId="0" borderId="0" xfId="0" applyNumberFormat="1" applyFont="1" applyAlignment="1">
      <alignment horizontal="center"/>
    </xf>
    <xf numFmtId="44" fontId="15" fillId="0" borderId="0" xfId="2" applyFont="1"/>
    <xf numFmtId="0" fontId="17" fillId="0" borderId="0" xfId="0" applyFont="1" applyFill="1" applyAlignment="1">
      <alignment horizontal="left" vertical="top"/>
    </xf>
    <xf numFmtId="0" fontId="17" fillId="0" borderId="1" xfId="0" applyFont="1" applyFill="1" applyBorder="1" applyAlignment="1">
      <alignment horizontal="left" vertical="top"/>
    </xf>
    <xf numFmtId="0" fontId="17" fillId="0" borderId="1" xfId="0" applyFont="1" applyFill="1" applyBorder="1" applyAlignment="1">
      <alignment horizontal="left" vertical="top" wrapText="1"/>
    </xf>
    <xf numFmtId="44" fontId="17" fillId="0" borderId="1" xfId="2" applyFont="1" applyFill="1" applyBorder="1" applyAlignment="1">
      <alignment horizontal="left" vertical="top"/>
    </xf>
    <xf numFmtId="0" fontId="9" fillId="0" borderId="0" xfId="0" applyFont="1" applyFill="1" applyAlignment="1">
      <alignment horizontal="left" vertical="top"/>
    </xf>
    <xf numFmtId="0" fontId="15" fillId="0" borderId="0" xfId="0" applyFont="1"/>
    <xf numFmtId="44" fontId="15" fillId="0" borderId="0" xfId="2" applyFont="1" applyFill="1" applyAlignment="1">
      <alignment horizontal="left" vertical="top"/>
    </xf>
    <xf numFmtId="44" fontId="15" fillId="0" borderId="0" xfId="2" applyFont="1" applyFill="1" applyAlignment="1">
      <alignment horizontal="left" vertical="top" wrapText="1"/>
    </xf>
    <xf numFmtId="0" fontId="19" fillId="0" borderId="0" xfId="0" applyFont="1"/>
    <xf numFmtId="0" fontId="19" fillId="0" borderId="13" xfId="0" applyFont="1" applyFill="1" applyBorder="1" applyAlignment="1">
      <alignment vertical="top" wrapText="1"/>
    </xf>
    <xf numFmtId="0" fontId="20" fillId="0" borderId="13" xfId="0" applyFont="1" applyBorder="1" applyAlignment="1">
      <alignment vertical="top" wrapText="1"/>
    </xf>
    <xf numFmtId="0" fontId="8" fillId="0" borderId="0" xfId="0" applyFont="1" applyAlignment="1">
      <alignment horizontal="center" vertical="center"/>
    </xf>
    <xf numFmtId="0" fontId="20" fillId="0" borderId="0" xfId="0" applyFont="1" applyBorder="1" applyAlignment="1">
      <alignment vertical="top" wrapText="1"/>
    </xf>
    <xf numFmtId="0" fontId="17" fillId="0" borderId="1" xfId="0" applyFont="1" applyFill="1" applyBorder="1" applyAlignment="1">
      <alignment horizontal="center" vertical="top"/>
    </xf>
    <xf numFmtId="44" fontId="17" fillId="0" borderId="1" xfId="2" applyFont="1" applyFill="1" applyBorder="1" applyAlignment="1">
      <alignment horizontal="center" vertical="top"/>
    </xf>
    <xf numFmtId="0" fontId="17" fillId="0" borderId="1" xfId="0" applyFont="1" applyFill="1" applyBorder="1" applyAlignment="1">
      <alignment vertical="top"/>
    </xf>
    <xf numFmtId="0" fontId="3" fillId="0" borderId="0" xfId="0" applyFont="1"/>
    <xf numFmtId="14" fontId="15" fillId="0" borderId="0" xfId="0" applyNumberFormat="1" applyFont="1"/>
    <xf numFmtId="0" fontId="15" fillId="0" borderId="0" xfId="0" applyFont="1" applyAlignment="1">
      <alignment wrapText="1"/>
    </xf>
    <xf numFmtId="0" fontId="2" fillId="0" borderId="0" xfId="0" applyFont="1"/>
    <xf numFmtId="0" fontId="2" fillId="0" borderId="0" xfId="0" applyFont="1" applyAlignment="1">
      <alignment wrapText="1"/>
    </xf>
    <xf numFmtId="0" fontId="15" fillId="3" borderId="1" xfId="0" applyFont="1" applyFill="1" applyBorder="1" applyAlignment="1">
      <alignment horizontal="left" vertical="top"/>
    </xf>
    <xf numFmtId="0" fontId="19" fillId="0" borderId="13" xfId="0" applyFont="1" applyFill="1" applyBorder="1" applyAlignment="1">
      <alignment horizontal="right" vertical="top" wrapText="1"/>
    </xf>
    <xf numFmtId="0" fontId="15" fillId="0" borderId="0" xfId="0" applyFont="1" applyFill="1" applyAlignment="1">
      <alignment horizontal="left" vertical="top"/>
    </xf>
    <xf numFmtId="0" fontId="14"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165" fontId="15" fillId="0" borderId="1" xfId="0" applyNumberFormat="1" applyFont="1" applyFill="1" applyBorder="1" applyAlignment="1">
      <alignment horizontal="left" vertical="top" wrapText="1"/>
    </xf>
    <xf numFmtId="42" fontId="14" fillId="0" borderId="1" xfId="0" applyNumberFormat="1" applyFont="1" applyFill="1" applyBorder="1" applyAlignment="1">
      <alignment horizontal="left" vertical="top" wrapText="1"/>
    </xf>
    <xf numFmtId="44" fontId="15" fillId="0" borderId="1" xfId="2" applyFont="1" applyFill="1" applyBorder="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0" fontId="24" fillId="0" borderId="1" xfId="0" quotePrefix="1" applyFont="1" applyFill="1" applyBorder="1" applyAlignment="1">
      <alignment horizontal="left" vertical="top"/>
    </xf>
    <xf numFmtId="0" fontId="15" fillId="0" borderId="6" xfId="0" applyFont="1" applyFill="1" applyBorder="1" applyAlignment="1">
      <alignment horizontal="left" vertical="top" wrapText="1"/>
    </xf>
    <xf numFmtId="165" fontId="15" fillId="0" borderId="6" xfId="0" applyNumberFormat="1" applyFont="1" applyFill="1" applyBorder="1" applyAlignment="1">
      <alignment horizontal="left" vertical="top" wrapText="1"/>
    </xf>
    <xf numFmtId="42" fontId="14" fillId="0" borderId="6" xfId="0" applyNumberFormat="1" applyFont="1" applyFill="1" applyBorder="1" applyAlignment="1">
      <alignment horizontal="left" vertical="top" wrapText="1"/>
    </xf>
    <xf numFmtId="0" fontId="14" fillId="0" borderId="6" xfId="0" applyFont="1" applyFill="1" applyBorder="1" applyAlignment="1">
      <alignment horizontal="left" vertical="top" wrapText="1"/>
    </xf>
    <xf numFmtId="44" fontId="15" fillId="0" borderId="0" xfId="2" applyFont="1" applyFill="1" applyBorder="1" applyAlignment="1">
      <alignment horizontal="left" vertical="top" wrapText="1"/>
    </xf>
    <xf numFmtId="0" fontId="15" fillId="0" borderId="0" xfId="0" applyFont="1" applyFill="1" applyAlignment="1">
      <alignment vertical="top"/>
    </xf>
    <xf numFmtId="0" fontId="15" fillId="0" borderId="3" xfId="0" applyFont="1" applyFill="1" applyBorder="1" applyAlignment="1">
      <alignment vertical="top"/>
    </xf>
    <xf numFmtId="0" fontId="15" fillId="0" borderId="3" xfId="0" applyFont="1" applyFill="1" applyBorder="1" applyAlignment="1">
      <alignment vertical="top" wrapText="1"/>
    </xf>
    <xf numFmtId="165" fontId="15" fillId="0" borderId="3" xfId="0" applyNumberFormat="1" applyFont="1" applyFill="1" applyBorder="1" applyAlignment="1">
      <alignment vertical="top"/>
    </xf>
    <xf numFmtId="42" fontId="14" fillId="0" borderId="3" xfId="0" applyNumberFormat="1" applyFont="1" applyFill="1" applyBorder="1" applyAlignment="1">
      <alignment vertical="top"/>
    </xf>
    <xf numFmtId="44" fontId="15" fillId="0" borderId="1" xfId="2" applyFont="1" applyFill="1" applyBorder="1" applyAlignment="1">
      <alignment vertical="top"/>
    </xf>
    <xf numFmtId="0" fontId="8" fillId="0" borderId="0" xfId="0" applyFont="1" applyFill="1" applyAlignment="1">
      <alignment vertical="top"/>
    </xf>
    <xf numFmtId="0" fontId="15" fillId="0" borderId="2" xfId="0" applyFont="1" applyFill="1" applyBorder="1" applyAlignment="1">
      <alignment vertical="top" wrapText="1"/>
    </xf>
    <xf numFmtId="44" fontId="15" fillId="0" borderId="1" xfId="0" applyNumberFormat="1" applyFont="1" applyFill="1" applyBorder="1" applyAlignment="1">
      <alignment vertical="top"/>
    </xf>
    <xf numFmtId="0" fontId="15" fillId="0" borderId="3" xfId="0" applyFont="1" applyFill="1" applyBorder="1" applyAlignment="1">
      <alignment horizontal="left" vertical="top"/>
    </xf>
    <xf numFmtId="0" fontId="15" fillId="0" borderId="3" xfId="0" applyFont="1" applyFill="1" applyBorder="1" applyAlignment="1">
      <alignment horizontal="left" vertical="top" wrapText="1"/>
    </xf>
    <xf numFmtId="44" fontId="15" fillId="0" borderId="1" xfId="2" applyFont="1" applyFill="1" applyBorder="1" applyAlignment="1">
      <alignment horizontal="left" vertical="top"/>
    </xf>
    <xf numFmtId="0" fontId="15" fillId="0" borderId="0" xfId="0" applyFont="1" applyFill="1" applyBorder="1" applyAlignment="1">
      <alignment vertical="top"/>
    </xf>
    <xf numFmtId="0" fontId="15" fillId="0" borderId="1" xfId="0" applyFont="1" applyFill="1" applyBorder="1" applyAlignment="1">
      <alignment vertical="top"/>
    </xf>
    <xf numFmtId="0" fontId="15" fillId="0" borderId="1" xfId="0" applyFont="1" applyFill="1" applyBorder="1" applyAlignment="1">
      <alignment vertical="top" wrapText="1"/>
    </xf>
    <xf numFmtId="42" fontId="14" fillId="0" borderId="1" xfId="0" applyNumberFormat="1" applyFont="1" applyFill="1" applyBorder="1" applyAlignment="1">
      <alignment vertical="top"/>
    </xf>
    <xf numFmtId="165" fontId="15" fillId="0" borderId="1" xfId="0" applyNumberFormat="1" applyFont="1" applyFill="1" applyBorder="1" applyAlignment="1">
      <alignment vertical="top"/>
    </xf>
    <xf numFmtId="44" fontId="8" fillId="0" borderId="0" xfId="2" applyFont="1" applyFill="1" applyAlignment="1">
      <alignment vertical="top"/>
    </xf>
    <xf numFmtId="0" fontId="15" fillId="0" borderId="6" xfId="0" applyFont="1" applyFill="1" applyBorder="1" applyAlignment="1">
      <alignment vertical="top" wrapText="1"/>
    </xf>
    <xf numFmtId="42" fontId="14" fillId="0" borderId="6" xfId="0" applyNumberFormat="1" applyFont="1" applyFill="1" applyBorder="1" applyAlignment="1">
      <alignment vertical="top"/>
    </xf>
    <xf numFmtId="165" fontId="15" fillId="0" borderId="6" xfId="0" applyNumberFormat="1" applyFont="1" applyFill="1" applyBorder="1" applyAlignment="1">
      <alignment vertical="top"/>
    </xf>
    <xf numFmtId="44" fontId="15" fillId="0" borderId="6" xfId="2" applyFont="1" applyFill="1" applyBorder="1" applyAlignment="1">
      <alignment vertical="top"/>
    </xf>
    <xf numFmtId="0" fontId="8" fillId="0" borderId="11" xfId="0" applyFont="1" applyFill="1" applyBorder="1" applyAlignment="1">
      <alignment vertical="top"/>
    </xf>
    <xf numFmtId="0" fontId="8" fillId="0" borderId="1" xfId="0" applyFont="1" applyFill="1" applyBorder="1" applyAlignment="1">
      <alignment vertical="top"/>
    </xf>
    <xf numFmtId="0" fontId="17" fillId="0" borderId="1" xfId="0" applyNumberFormat="1" applyFont="1" applyFill="1" applyBorder="1" applyAlignment="1">
      <alignment horizontal="left"/>
    </xf>
    <xf numFmtId="0" fontId="8" fillId="0" borderId="0" xfId="0" applyFont="1" applyFill="1" applyBorder="1" applyAlignment="1">
      <alignment vertical="top"/>
    </xf>
    <xf numFmtId="0" fontId="17" fillId="0" borderId="1" xfId="0" applyFont="1" applyFill="1" applyBorder="1" applyAlignment="1">
      <alignment horizontal="center" vertical="top" wrapText="1"/>
    </xf>
    <xf numFmtId="0" fontId="27" fillId="0" borderId="1" xfId="0" applyFont="1" applyFill="1" applyBorder="1" applyAlignment="1">
      <alignment horizontal="left" vertical="top" wrapText="1"/>
    </xf>
    <xf numFmtId="0" fontId="17" fillId="0" borderId="1" xfId="0" applyNumberFormat="1" applyFont="1" applyFill="1" applyBorder="1" applyAlignment="1">
      <alignment horizontal="left" vertical="top"/>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5" fillId="0" borderId="0" xfId="0" applyFont="1" applyBorder="1"/>
    <xf numFmtId="0" fontId="14" fillId="0" borderId="3" xfId="0" applyFont="1" applyFill="1" applyBorder="1" applyAlignment="1">
      <alignment vertical="top"/>
    </xf>
    <xf numFmtId="0" fontId="14" fillId="0" borderId="1" xfId="0" applyFont="1" applyFill="1" applyBorder="1" applyAlignment="1">
      <alignment vertical="top"/>
    </xf>
    <xf numFmtId="0" fontId="14" fillId="0" borderId="6" xfId="0" applyFont="1" applyFill="1" applyBorder="1" applyAlignment="1">
      <alignment vertical="top"/>
    </xf>
    <xf numFmtId="44" fontId="15" fillId="0" borderId="0" xfId="2" applyFont="1" applyFill="1" applyBorder="1" applyAlignment="1">
      <alignment vertical="top"/>
    </xf>
    <xf numFmtId="165" fontId="15" fillId="0" borderId="1" xfId="0" applyNumberFormat="1" applyFont="1" applyFill="1" applyBorder="1" applyAlignment="1">
      <alignment vertical="top" wrapText="1"/>
    </xf>
    <xf numFmtId="165" fontId="15" fillId="0" borderId="6" xfId="0" applyNumberFormat="1" applyFont="1" applyFill="1" applyBorder="1" applyAlignment="1">
      <alignment vertical="top" wrapText="1"/>
    </xf>
    <xf numFmtId="44" fontId="15" fillId="0" borderId="0" xfId="2" applyFont="1" applyFill="1" applyBorder="1" applyAlignment="1">
      <alignment horizontal="left" vertical="top"/>
    </xf>
    <xf numFmtId="0" fontId="19" fillId="0" borderId="0" xfId="0" applyFont="1" applyFill="1" applyBorder="1" applyAlignment="1">
      <alignment vertical="top" wrapText="1"/>
    </xf>
    <xf numFmtId="0" fontId="4" fillId="0" borderId="0" xfId="0" applyFont="1" applyFill="1" applyBorder="1" applyAlignment="1">
      <alignment horizontal="left" vertical="top"/>
    </xf>
    <xf numFmtId="0" fontId="15" fillId="0" borderId="10" xfId="0" applyFont="1" applyFill="1" applyBorder="1" applyAlignment="1">
      <alignment vertical="top" wrapText="1"/>
    </xf>
    <xf numFmtId="44" fontId="4" fillId="0" borderId="0" xfId="2" applyFont="1" applyFill="1" applyAlignment="1">
      <alignment horizontal="left" vertical="top"/>
    </xf>
    <xf numFmtId="0" fontId="4" fillId="0" borderId="0" xfId="0" applyFont="1" applyFill="1" applyAlignment="1">
      <alignment horizontal="left" vertical="top"/>
    </xf>
    <xf numFmtId="49" fontId="15" fillId="0" borderId="1" xfId="0" applyNumberFormat="1" applyFont="1" applyFill="1" applyBorder="1" applyAlignment="1">
      <alignment horizontal="right" vertical="top"/>
    </xf>
    <xf numFmtId="0" fontId="15" fillId="0" borderId="1" xfId="0" applyFont="1" applyFill="1" applyBorder="1" applyAlignment="1">
      <alignment horizontal="left" vertical="top"/>
    </xf>
    <xf numFmtId="49" fontId="15" fillId="0" borderId="1" xfId="0" applyNumberFormat="1" applyFont="1" applyFill="1" applyBorder="1" applyAlignment="1">
      <alignment horizontal="right" vertical="top" wrapText="1"/>
    </xf>
    <xf numFmtId="42" fontId="14" fillId="0" borderId="1" xfId="0" applyNumberFormat="1" applyFont="1" applyFill="1" applyBorder="1" applyAlignment="1">
      <alignment vertical="top" wrapText="1"/>
    </xf>
    <xf numFmtId="0" fontId="14" fillId="0" borderId="1" xfId="0" applyFont="1" applyFill="1" applyBorder="1" applyAlignment="1">
      <alignment vertical="top" wrapText="1"/>
    </xf>
    <xf numFmtId="165" fontId="15" fillId="0" borderId="4" xfId="0" applyNumberFormat="1" applyFont="1" applyFill="1" applyBorder="1" applyAlignment="1">
      <alignment vertical="top"/>
    </xf>
    <xf numFmtId="0" fontId="17" fillId="0" borderId="1" xfId="0" applyFont="1" applyFill="1" applyBorder="1" applyAlignment="1">
      <alignment vertical="top" wrapText="1"/>
    </xf>
    <xf numFmtId="49" fontId="17" fillId="0" borderId="1" xfId="0" applyNumberFormat="1" applyFont="1" applyFill="1" applyBorder="1" applyAlignment="1">
      <alignment horizontal="right" vertical="top"/>
    </xf>
    <xf numFmtId="44" fontId="17" fillId="0" borderId="1" xfId="2" applyFont="1" applyFill="1" applyBorder="1" applyAlignment="1">
      <alignment vertical="top"/>
    </xf>
    <xf numFmtId="0" fontId="9" fillId="0" borderId="0" xfId="0" applyFont="1" applyFill="1" applyAlignment="1">
      <alignment vertical="top"/>
    </xf>
    <xf numFmtId="0" fontId="15" fillId="0" borderId="1" xfId="0" applyNumberFormat="1" applyFont="1" applyFill="1" applyBorder="1" applyAlignment="1">
      <alignment horizontal="left" vertical="top"/>
    </xf>
    <xf numFmtId="0" fontId="15" fillId="0" borderId="1" xfId="0" applyFont="1" applyFill="1" applyBorder="1" applyAlignment="1">
      <alignment wrapText="1"/>
    </xf>
    <xf numFmtId="0" fontId="15" fillId="0" borderId="5" xfId="0" applyFont="1" applyFill="1" applyBorder="1" applyAlignment="1">
      <alignment vertical="top"/>
    </xf>
    <xf numFmtId="44" fontId="15" fillId="0" borderId="0" xfId="2" applyFont="1" applyFill="1" applyAlignment="1">
      <alignment vertical="top"/>
    </xf>
    <xf numFmtId="0" fontId="15" fillId="0" borderId="0" xfId="0" applyFont="1" applyFill="1" applyBorder="1" applyAlignment="1">
      <alignment horizontal="left" vertical="top" wrapText="1"/>
    </xf>
    <xf numFmtId="0" fontId="14" fillId="0" borderId="3" xfId="0" applyFont="1" applyFill="1" applyBorder="1" applyAlignment="1">
      <alignment horizontal="left" vertical="top" wrapText="1"/>
    </xf>
    <xf numFmtId="165" fontId="15" fillId="0" borderId="3" xfId="0" applyNumberFormat="1" applyFont="1" applyFill="1" applyBorder="1" applyAlignment="1">
      <alignment horizontal="left" vertical="top" wrapText="1"/>
    </xf>
    <xf numFmtId="42" fontId="14" fillId="0" borderId="3" xfId="0" applyNumberFormat="1" applyFont="1" applyFill="1" applyBorder="1" applyAlignment="1">
      <alignment horizontal="left" vertical="top" wrapText="1"/>
    </xf>
    <xf numFmtId="0" fontId="15" fillId="0" borderId="0" xfId="0" applyFont="1" applyFill="1" applyAlignment="1">
      <alignment horizontal="left" vertical="top" wrapText="1"/>
    </xf>
    <xf numFmtId="0" fontId="14" fillId="0" borderId="18" xfId="0" applyFont="1" applyFill="1" applyBorder="1" applyAlignment="1">
      <alignment vertical="top"/>
    </xf>
    <xf numFmtId="0" fontId="15" fillId="0" borderId="18" xfId="0" applyFont="1" applyFill="1" applyBorder="1" applyAlignment="1">
      <alignment vertical="top" wrapText="1"/>
    </xf>
    <xf numFmtId="44" fontId="15" fillId="0" borderId="19" xfId="2" applyFont="1" applyFill="1" applyBorder="1" applyAlignment="1">
      <alignment vertical="top"/>
    </xf>
    <xf numFmtId="44" fontId="15" fillId="0" borderId="20" xfId="2" applyFont="1" applyFill="1" applyBorder="1" applyAlignment="1">
      <alignment vertical="top"/>
    </xf>
    <xf numFmtId="0" fontId="0" fillId="0" borderId="0" xfId="0" applyFill="1"/>
    <xf numFmtId="44" fontId="0" fillId="0" borderId="0" xfId="0" applyNumberFormat="1" applyFill="1"/>
    <xf numFmtId="164" fontId="0" fillId="0" borderId="0" xfId="0" applyNumberFormat="1" applyFill="1"/>
    <xf numFmtId="0" fontId="14" fillId="0" borderId="1" xfId="0" applyFont="1" applyFill="1" applyBorder="1" applyAlignment="1">
      <alignment horizontal="left" vertical="top"/>
    </xf>
    <xf numFmtId="165" fontId="15" fillId="0" borderId="1" xfId="0" applyNumberFormat="1" applyFont="1" applyFill="1" applyBorder="1" applyAlignment="1">
      <alignment horizontal="left" vertical="top"/>
    </xf>
    <xf numFmtId="42" fontId="14" fillId="0" borderId="1" xfId="0" applyNumberFormat="1" applyFont="1" applyFill="1" applyBorder="1" applyAlignment="1">
      <alignment horizontal="left" vertical="top"/>
    </xf>
    <xf numFmtId="4" fontId="14" fillId="3" borderId="1" xfId="0" applyNumberFormat="1" applyFont="1" applyFill="1" applyBorder="1" applyAlignment="1">
      <alignment horizontal="right" vertical="top"/>
    </xf>
    <xf numFmtId="0" fontId="17" fillId="0" borderId="3" xfId="0" applyFont="1" applyFill="1" applyBorder="1" applyAlignment="1">
      <alignment horizontal="left" vertical="top"/>
    </xf>
    <xf numFmtId="0" fontId="17" fillId="0" borderId="0" xfId="0" applyFont="1" applyFill="1" applyBorder="1" applyAlignment="1">
      <alignment horizontal="left" vertical="top"/>
    </xf>
    <xf numFmtId="0" fontId="9" fillId="0" borderId="0" xfId="0" applyFont="1" applyFill="1" applyBorder="1" applyAlignment="1">
      <alignment horizontal="left" vertical="top"/>
    </xf>
    <xf numFmtId="0" fontId="15" fillId="0" borderId="6" xfId="0" applyFont="1" applyFill="1" applyBorder="1" applyAlignment="1">
      <alignment horizontal="left" vertical="top" wrapText="1"/>
    </xf>
    <xf numFmtId="0" fontId="30" fillId="3" borderId="1" xfId="0" applyFont="1" applyFill="1" applyBorder="1" applyAlignment="1">
      <alignment wrapText="1"/>
    </xf>
    <xf numFmtId="0" fontId="30" fillId="3" borderId="1" xfId="0" applyFont="1" applyFill="1" applyBorder="1"/>
    <xf numFmtId="49" fontId="14" fillId="0" borderId="18" xfId="0" applyNumberFormat="1" applyFont="1" applyFill="1" applyBorder="1" applyAlignment="1">
      <alignment horizontal="right" vertical="top"/>
    </xf>
    <xf numFmtId="49" fontId="14" fillId="0" borderId="1" xfId="0" applyNumberFormat="1" applyFont="1" applyFill="1" applyBorder="1" applyAlignment="1">
      <alignment horizontal="right" vertical="top"/>
    </xf>
    <xf numFmtId="14" fontId="15" fillId="0" borderId="0" xfId="0" applyNumberFormat="1" applyFont="1" applyAlignment="1">
      <alignment horizontal="right"/>
    </xf>
    <xf numFmtId="0" fontId="15" fillId="0" borderId="0" xfId="0" applyFont="1" applyAlignment="1">
      <alignment horizontal="right"/>
    </xf>
    <xf numFmtId="0" fontId="29" fillId="0" borderId="0" xfId="0" applyFont="1" applyAlignment="1">
      <alignment horizontal="right" vertical="top"/>
    </xf>
    <xf numFmtId="49" fontId="16" fillId="0" borderId="1" xfId="0" applyNumberFormat="1" applyFont="1" applyFill="1" applyBorder="1" applyAlignment="1">
      <alignment horizontal="right" vertical="top"/>
    </xf>
    <xf numFmtId="14" fontId="31" fillId="3" borderId="1" xfId="0" applyNumberFormat="1" applyFont="1" applyFill="1" applyBorder="1" applyAlignment="1">
      <alignment horizontal="right" vertical="top"/>
    </xf>
    <xf numFmtId="0" fontId="0" fillId="0" borderId="0" xfId="0" applyAlignment="1">
      <alignment horizontal="right"/>
    </xf>
    <xf numFmtId="49" fontId="15" fillId="0" borderId="4" xfId="0" applyNumberFormat="1" applyFont="1" applyFill="1" applyBorder="1" applyAlignment="1">
      <alignment horizontal="right" vertical="top"/>
    </xf>
    <xf numFmtId="0" fontId="30" fillId="3" borderId="1" xfId="0" applyFont="1" applyFill="1" applyBorder="1" applyAlignment="1">
      <alignment horizontal="right"/>
    </xf>
    <xf numFmtId="49" fontId="16" fillId="0" borderId="3" xfId="0" applyNumberFormat="1" applyFont="1" applyFill="1" applyBorder="1" applyAlignment="1">
      <alignment horizontal="right" vertical="top" wrapText="1"/>
    </xf>
    <xf numFmtId="49" fontId="14" fillId="0" borderId="1" xfId="0" applyNumberFormat="1" applyFont="1" applyFill="1" applyBorder="1" applyAlignment="1">
      <alignment horizontal="right" vertical="top" wrapText="1"/>
    </xf>
    <xf numFmtId="49" fontId="16" fillId="0" borderId="1" xfId="0" applyNumberFormat="1" applyFont="1" applyFill="1" applyBorder="1" applyAlignment="1">
      <alignment horizontal="right" vertical="top" wrapText="1"/>
    </xf>
    <xf numFmtId="49" fontId="15" fillId="0" borderId="3" xfId="0" applyNumberFormat="1" applyFont="1" applyFill="1" applyBorder="1" applyAlignment="1">
      <alignment horizontal="right" vertical="top" wrapText="1"/>
    </xf>
    <xf numFmtId="166" fontId="15" fillId="0" borderId="0" xfId="0" applyNumberFormat="1" applyFont="1" applyAlignment="1">
      <alignment horizontal="right"/>
    </xf>
    <xf numFmtId="166" fontId="15" fillId="0" borderId="1" xfId="0" applyNumberFormat="1" applyFont="1" applyFill="1" applyBorder="1" applyAlignment="1">
      <alignment horizontal="right" vertical="top"/>
    </xf>
    <xf numFmtId="166" fontId="15" fillId="0" borderId="1" xfId="1" applyNumberFormat="1" applyFont="1" applyFill="1" applyBorder="1" applyAlignment="1">
      <alignment horizontal="right" vertical="top"/>
    </xf>
    <xf numFmtId="166" fontId="15" fillId="0" borderId="1" xfId="0" applyNumberFormat="1" applyFont="1" applyFill="1" applyBorder="1" applyAlignment="1">
      <alignment horizontal="right" vertical="top" wrapText="1"/>
    </xf>
    <xf numFmtId="166" fontId="15" fillId="0" borderId="0" xfId="0" applyNumberFormat="1" applyFont="1"/>
    <xf numFmtId="166" fontId="15" fillId="0" borderId="1" xfId="0" applyNumberFormat="1" applyFont="1" applyFill="1" applyBorder="1" applyAlignment="1">
      <alignment horizontal="center" vertical="top"/>
    </xf>
    <xf numFmtId="166" fontId="0" fillId="0" borderId="0" xfId="0" applyNumberFormat="1" applyAlignment="1">
      <alignment horizontal="center"/>
    </xf>
    <xf numFmtId="166" fontId="30" fillId="3" borderId="1" xfId="0" applyNumberFormat="1" applyFont="1" applyFill="1" applyBorder="1" applyAlignment="1">
      <alignment horizontal="center"/>
    </xf>
    <xf numFmtId="166" fontId="15" fillId="0" borderId="3" xfId="0" applyNumberFormat="1" applyFont="1" applyFill="1" applyBorder="1" applyAlignment="1">
      <alignment horizontal="center" vertical="top" wrapText="1"/>
    </xf>
    <xf numFmtId="166" fontId="15" fillId="0" borderId="1" xfId="0" applyNumberFormat="1" applyFont="1" applyFill="1" applyBorder="1" applyAlignment="1">
      <alignment horizontal="center" vertical="top" wrapText="1"/>
    </xf>
    <xf numFmtId="166" fontId="15" fillId="0" borderId="18" xfId="0" applyNumberFormat="1" applyFont="1" applyFill="1" applyBorder="1" applyAlignment="1">
      <alignment horizontal="center" vertical="top"/>
    </xf>
    <xf numFmtId="166" fontId="15" fillId="0" borderId="3" xfId="0" applyNumberFormat="1" applyFont="1" applyFill="1" applyBorder="1" applyAlignment="1">
      <alignment horizontal="center" vertical="top"/>
    </xf>
    <xf numFmtId="166" fontId="15" fillId="0" borderId="6" xfId="0" applyNumberFormat="1" applyFont="1" applyFill="1" applyBorder="1" applyAlignment="1">
      <alignment horizontal="center" vertical="top"/>
    </xf>
    <xf numFmtId="166" fontId="3" fillId="0" borderId="0" xfId="0" applyNumberFormat="1" applyFont="1" applyAlignment="1">
      <alignment horizontal="center"/>
    </xf>
    <xf numFmtId="166" fontId="4" fillId="0" borderId="0" xfId="0" applyNumberFormat="1" applyFont="1" applyAlignment="1">
      <alignment horizontal="center"/>
    </xf>
    <xf numFmtId="49" fontId="15" fillId="0" borderId="3" xfId="0" applyNumberFormat="1" applyFont="1" applyFill="1" applyBorder="1" applyAlignment="1">
      <alignment horizontal="right" vertical="top"/>
    </xf>
    <xf numFmtId="49" fontId="16" fillId="0" borderId="3" xfId="0" applyNumberFormat="1" applyFont="1" applyFill="1" applyBorder="1" applyAlignment="1">
      <alignment horizontal="right" vertical="top"/>
    </xf>
    <xf numFmtId="49" fontId="15" fillId="0" borderId="6" xfId="0" applyNumberFormat="1" applyFont="1" applyFill="1" applyBorder="1" applyAlignment="1">
      <alignment horizontal="right" vertical="top"/>
    </xf>
    <xf numFmtId="49" fontId="14" fillId="0" borderId="6" xfId="0" applyNumberFormat="1" applyFont="1" applyFill="1" applyBorder="1" applyAlignment="1">
      <alignment horizontal="right" vertical="top"/>
    </xf>
    <xf numFmtId="14" fontId="3" fillId="0" borderId="0" xfId="0" applyNumberFormat="1" applyFont="1" applyAlignment="1">
      <alignment horizontal="right"/>
    </xf>
    <xf numFmtId="0" fontId="3" fillId="0" borderId="0" xfId="0" applyFont="1" applyAlignment="1">
      <alignment horizontal="right"/>
    </xf>
    <xf numFmtId="0" fontId="4" fillId="0" borderId="0" xfId="0" applyFont="1" applyAlignment="1">
      <alignment horizontal="right"/>
    </xf>
    <xf numFmtId="0" fontId="8" fillId="0" borderId="0" xfId="0" applyFont="1" applyAlignment="1">
      <alignment horizontal="right"/>
    </xf>
    <xf numFmtId="49" fontId="18" fillId="0" borderId="1" xfId="0" applyNumberFormat="1" applyFont="1" applyFill="1" applyBorder="1" applyAlignment="1">
      <alignment horizontal="right" vertical="top"/>
    </xf>
    <xf numFmtId="14" fontId="17" fillId="0" borderId="1" xfId="0" applyNumberFormat="1" applyFont="1" applyFill="1" applyBorder="1" applyAlignment="1">
      <alignment horizontal="right" vertical="top"/>
    </xf>
    <xf numFmtId="166" fontId="17" fillId="0" borderId="1" xfId="0" applyNumberFormat="1" applyFont="1" applyFill="1" applyBorder="1" applyAlignment="1">
      <alignment horizontal="center" vertical="top"/>
    </xf>
    <xf numFmtId="166" fontId="8" fillId="0" borderId="0" xfId="0" applyNumberFormat="1" applyFont="1" applyAlignment="1">
      <alignment horizontal="center"/>
    </xf>
    <xf numFmtId="49" fontId="14" fillId="0" borderId="3" xfId="0" applyNumberFormat="1" applyFont="1" applyFill="1" applyBorder="1" applyAlignment="1">
      <alignment horizontal="right" vertical="top"/>
    </xf>
    <xf numFmtId="49" fontId="15" fillId="0" borderId="2" xfId="0" applyNumberFormat="1" applyFont="1" applyFill="1" applyBorder="1" applyAlignment="1">
      <alignment horizontal="right" vertical="top"/>
    </xf>
    <xf numFmtId="49" fontId="14" fillId="0" borderId="2" xfId="0" applyNumberFormat="1" applyFont="1" applyFill="1" applyBorder="1" applyAlignment="1">
      <alignment horizontal="right" vertical="top"/>
    </xf>
    <xf numFmtId="166" fontId="15" fillId="0" borderId="2" xfId="0" applyNumberFormat="1" applyFont="1" applyFill="1" applyBorder="1" applyAlignment="1">
      <alignment horizontal="center" vertical="top"/>
    </xf>
    <xf numFmtId="49" fontId="15" fillId="0" borderId="6" xfId="0" applyNumberFormat="1" applyFont="1" applyFill="1" applyBorder="1" applyAlignment="1">
      <alignment horizontal="right" vertical="top" wrapText="1"/>
    </xf>
    <xf numFmtId="49" fontId="16" fillId="0" borderId="6" xfId="0" applyNumberFormat="1" applyFont="1" applyFill="1" applyBorder="1" applyAlignment="1">
      <alignment horizontal="right" vertical="top" wrapText="1"/>
    </xf>
    <xf numFmtId="49" fontId="15" fillId="0" borderId="7" xfId="0" applyNumberFormat="1" applyFont="1" applyFill="1" applyBorder="1" applyAlignment="1">
      <alignment horizontal="right" vertical="top" wrapText="1"/>
    </xf>
    <xf numFmtId="14" fontId="0" fillId="0" borderId="0" xfId="0" applyNumberFormat="1" applyAlignment="1">
      <alignment horizontal="right"/>
    </xf>
    <xf numFmtId="166" fontId="15" fillId="0" borderId="6" xfId="0" applyNumberFormat="1" applyFont="1" applyFill="1" applyBorder="1" applyAlignment="1">
      <alignment horizontal="center" vertical="top" wrapText="1"/>
    </xf>
    <xf numFmtId="166" fontId="15" fillId="0" borderId="7" xfId="0" applyNumberFormat="1" applyFont="1" applyFill="1" applyBorder="1" applyAlignment="1">
      <alignment horizontal="center" vertical="top" wrapText="1"/>
    </xf>
    <xf numFmtId="166" fontId="19" fillId="0" borderId="13" xfId="0" applyNumberFormat="1" applyFont="1" applyFill="1" applyBorder="1" applyAlignment="1">
      <alignment horizontal="center" vertical="top" wrapText="1"/>
    </xf>
    <xf numFmtId="0" fontId="25" fillId="0" borderId="1" xfId="0" applyFont="1" applyFill="1" applyBorder="1" applyAlignment="1">
      <alignment horizontal="left" vertical="top" wrapText="1"/>
    </xf>
    <xf numFmtId="0" fontId="14" fillId="5" borderId="8" xfId="0" applyNumberFormat="1" applyFont="1" applyFill="1" applyBorder="1" applyAlignment="1">
      <alignment horizontal="center" vertical="center" textRotation="45"/>
    </xf>
    <xf numFmtId="44" fontId="14" fillId="5" borderId="8" xfId="0" applyNumberFormat="1" applyFont="1" applyFill="1" applyBorder="1" applyAlignment="1">
      <alignment horizontal="center" vertical="center" textRotation="45"/>
    </xf>
    <xf numFmtId="14" fontId="16" fillId="0" borderId="1" xfId="0" applyNumberFormat="1" applyFont="1" applyFill="1" applyBorder="1" applyAlignment="1">
      <alignment horizontal="right" vertical="top"/>
    </xf>
    <xf numFmtId="49" fontId="15" fillId="0" borderId="18" xfId="0" applyNumberFormat="1" applyFont="1" applyFill="1" applyBorder="1" applyAlignment="1">
      <alignment horizontal="right" vertical="top"/>
    </xf>
    <xf numFmtId="166" fontId="15" fillId="0" borderId="1" xfId="1" applyNumberFormat="1" applyFont="1" applyFill="1" applyBorder="1" applyAlignment="1">
      <alignment horizontal="center" vertical="top"/>
    </xf>
    <xf numFmtId="0" fontId="21" fillId="0" borderId="0" xfId="0" applyFont="1"/>
    <xf numFmtId="0" fontId="21" fillId="0" borderId="3" xfId="0" applyFont="1" applyBorder="1"/>
    <xf numFmtId="0" fontId="21" fillId="0" borderId="1" xfId="0" applyFont="1" applyBorder="1"/>
    <xf numFmtId="0" fontId="21" fillId="0" borderId="1" xfId="0" applyFont="1" applyBorder="1" applyAlignment="1">
      <alignment vertical="top" wrapText="1"/>
    </xf>
    <xf numFmtId="0" fontId="21" fillId="0" borderId="1" xfId="0" applyFont="1" applyBorder="1" applyAlignment="1">
      <alignment vertical="top"/>
    </xf>
    <xf numFmtId="3" fontId="14" fillId="0" borderId="18" xfId="0" applyNumberFormat="1" applyFont="1" applyFill="1" applyBorder="1" applyAlignment="1">
      <alignment vertical="top"/>
    </xf>
    <xf numFmtId="3" fontId="14" fillId="0" borderId="1" xfId="0" applyNumberFormat="1" applyFont="1" applyFill="1" applyBorder="1" applyAlignment="1">
      <alignment vertical="top"/>
    </xf>
    <xf numFmtId="0" fontId="15" fillId="0" borderId="2" xfId="0" applyFont="1" applyFill="1" applyBorder="1" applyAlignment="1">
      <alignment horizontal="left" vertical="top" wrapText="1"/>
    </xf>
    <xf numFmtId="165" fontId="15" fillId="0" borderId="6" xfId="0" applyNumberFormat="1" applyFont="1" applyFill="1" applyBorder="1" applyAlignment="1">
      <alignment horizontal="left" vertical="top"/>
    </xf>
    <xf numFmtId="165" fontId="15" fillId="0" borderId="18" xfId="0" applyNumberFormat="1" applyFont="1" applyFill="1" applyBorder="1" applyAlignment="1">
      <alignment horizontal="left" vertical="top"/>
    </xf>
    <xf numFmtId="0" fontId="15" fillId="0" borderId="18" xfId="0" applyNumberFormat="1" applyFont="1" applyFill="1" applyBorder="1" applyAlignment="1">
      <alignment horizontal="left" vertical="top"/>
    </xf>
    <xf numFmtId="0" fontId="15" fillId="0" borderId="6" xfId="0" applyFont="1" applyFill="1" applyBorder="1" applyAlignment="1">
      <alignment horizontal="left" vertical="top" wrapText="1"/>
    </xf>
    <xf numFmtId="0" fontId="17" fillId="0" borderId="18" xfId="0" applyFont="1" applyFill="1" applyBorder="1" applyAlignment="1">
      <alignment vertical="top" wrapText="1"/>
    </xf>
    <xf numFmtId="0" fontId="15" fillId="0" borderId="1" xfId="0" applyFont="1" applyBorder="1" applyAlignment="1">
      <alignment wrapText="1"/>
    </xf>
    <xf numFmtId="8" fontId="32" fillId="7" borderId="1" xfId="0" applyNumberFormat="1" applyFont="1" applyFill="1" applyBorder="1"/>
    <xf numFmtId="0" fontId="15" fillId="0" borderId="2" xfId="0" applyFont="1" applyBorder="1" applyAlignment="1">
      <alignment wrapText="1"/>
    </xf>
    <xf numFmtId="0" fontId="15" fillId="0" borderId="1" xfId="0" applyFont="1" applyBorder="1" applyAlignment="1">
      <alignment vertical="top" wrapText="1"/>
    </xf>
    <xf numFmtId="0" fontId="15" fillId="0" borderId="2" xfId="0" applyFont="1" applyBorder="1" applyAlignment="1">
      <alignment vertical="top" wrapText="1"/>
    </xf>
    <xf numFmtId="0" fontId="14" fillId="0" borderId="1" xfId="0" applyFont="1" applyBorder="1" applyAlignment="1">
      <alignment vertical="top"/>
    </xf>
    <xf numFmtId="0" fontId="14" fillId="0" borderId="2" xfId="0" applyFont="1" applyBorder="1" applyAlignment="1">
      <alignment vertical="top"/>
    </xf>
    <xf numFmtId="14" fontId="14" fillId="0" borderId="0" xfId="0" applyNumberFormat="1" applyFont="1" applyAlignment="1">
      <alignment horizontal="right"/>
    </xf>
    <xf numFmtId="3" fontId="14" fillId="0" borderId="0" xfId="0" applyNumberFormat="1" applyFont="1"/>
    <xf numFmtId="0" fontId="14" fillId="0" borderId="0" xfId="0" applyFont="1" applyAlignment="1">
      <alignment horizontal="right"/>
    </xf>
    <xf numFmtId="3" fontId="14" fillId="0" borderId="1" xfId="0" applyNumberFormat="1" applyFont="1" applyBorder="1" applyAlignment="1">
      <alignment vertical="top"/>
    </xf>
    <xf numFmtId="3" fontId="14" fillId="0" borderId="2" xfId="0" applyNumberFormat="1" applyFont="1" applyBorder="1" applyAlignment="1">
      <alignment vertical="top"/>
    </xf>
    <xf numFmtId="14" fontId="14" fillId="0" borderId="1" xfId="0" applyNumberFormat="1" applyFont="1" applyBorder="1" applyAlignment="1">
      <alignment horizontal="right" vertical="top"/>
    </xf>
    <xf numFmtId="14" fontId="14" fillId="0" borderId="2" xfId="0" applyNumberFormat="1" applyFont="1" applyBorder="1" applyAlignment="1">
      <alignment horizontal="right" vertical="top"/>
    </xf>
    <xf numFmtId="14" fontId="15" fillId="0" borderId="1" xfId="0" applyNumberFormat="1" applyFont="1" applyBorder="1" applyAlignment="1">
      <alignment horizontal="right" vertical="top"/>
    </xf>
    <xf numFmtId="14" fontId="15" fillId="0" borderId="2" xfId="0" applyNumberFormat="1" applyFont="1" applyBorder="1" applyAlignment="1">
      <alignment horizontal="right" vertical="top"/>
    </xf>
    <xf numFmtId="166" fontId="15" fillId="0" borderId="1" xfId="0" applyNumberFormat="1" applyFont="1" applyBorder="1" applyAlignment="1">
      <alignment horizontal="center" vertical="top"/>
    </xf>
    <xf numFmtId="166" fontId="15" fillId="0" borderId="2" xfId="0" applyNumberFormat="1" applyFont="1" applyBorder="1" applyAlignment="1">
      <alignment horizontal="center" vertical="top"/>
    </xf>
    <xf numFmtId="0" fontId="15" fillId="0" borderId="1" xfId="0" applyFont="1" applyBorder="1" applyAlignment="1">
      <alignment horizontal="left" vertical="top"/>
    </xf>
    <xf numFmtId="0" fontId="15" fillId="0" borderId="2" xfId="0" applyFont="1" applyBorder="1" applyAlignment="1">
      <alignment horizontal="left" vertical="top"/>
    </xf>
    <xf numFmtId="0" fontId="15" fillId="0" borderId="6" xfId="0" applyFont="1" applyFill="1" applyBorder="1" applyAlignment="1">
      <alignment horizontal="left" vertical="top" wrapText="1"/>
    </xf>
    <xf numFmtId="0" fontId="0" fillId="0" borderId="0" xfId="0" applyFill="1" applyAlignment="1">
      <alignment vertical="top"/>
    </xf>
    <xf numFmtId="0" fontId="30" fillId="3" borderId="1" xfId="0" applyFont="1" applyFill="1" applyBorder="1" applyAlignment="1">
      <alignment vertical="top" wrapText="1"/>
    </xf>
    <xf numFmtId="0" fontId="30" fillId="3" borderId="1" xfId="0" applyFont="1" applyFill="1" applyBorder="1" applyAlignment="1">
      <alignment vertical="top"/>
    </xf>
    <xf numFmtId="166" fontId="30" fillId="3" borderId="1" xfId="0" applyNumberFormat="1" applyFont="1" applyFill="1" applyBorder="1" applyAlignment="1">
      <alignment horizontal="center" vertical="top"/>
    </xf>
    <xf numFmtId="14" fontId="30" fillId="3" borderId="1" xfId="0" applyNumberFormat="1" applyFont="1" applyFill="1" applyBorder="1" applyAlignment="1">
      <alignment horizontal="right" vertical="top"/>
    </xf>
    <xf numFmtId="44" fontId="0" fillId="0" borderId="0" xfId="0" applyNumberFormat="1" applyFill="1" applyAlignment="1">
      <alignment vertical="top"/>
    </xf>
    <xf numFmtId="164" fontId="0" fillId="0" borderId="0" xfId="0" applyNumberFormat="1" applyFill="1" applyAlignment="1">
      <alignment vertical="top"/>
    </xf>
    <xf numFmtId="0" fontId="14" fillId="0" borderId="8" xfId="0" applyFont="1" applyFill="1" applyBorder="1" applyAlignment="1">
      <alignment vertical="top"/>
    </xf>
    <xf numFmtId="0" fontId="15" fillId="0" borderId="8" xfId="0" applyFont="1" applyFill="1" applyBorder="1" applyAlignment="1">
      <alignment vertical="top"/>
    </xf>
    <xf numFmtId="0" fontId="15" fillId="0" borderId="8" xfId="0" applyFont="1" applyFill="1" applyBorder="1" applyAlignment="1">
      <alignment vertical="top" wrapText="1"/>
    </xf>
    <xf numFmtId="165" fontId="15" fillId="0" borderId="3" xfId="0" applyNumberFormat="1" applyFont="1" applyFill="1" applyBorder="1" applyAlignment="1">
      <alignment vertical="top" wrapText="1"/>
    </xf>
    <xf numFmtId="166" fontId="15" fillId="0" borderId="8" xfId="0" applyNumberFormat="1" applyFont="1" applyFill="1" applyBorder="1" applyAlignment="1">
      <alignment horizontal="center" vertical="top"/>
    </xf>
    <xf numFmtId="49" fontId="15" fillId="0" borderId="8" xfId="0" applyNumberFormat="1" applyFont="1" applyFill="1" applyBorder="1" applyAlignment="1">
      <alignment horizontal="right" vertical="top"/>
    </xf>
    <xf numFmtId="42" fontId="14" fillId="0" borderId="8" xfId="0" applyNumberFormat="1" applyFont="1" applyFill="1" applyBorder="1" applyAlignment="1">
      <alignment vertical="top"/>
    </xf>
    <xf numFmtId="0" fontId="14" fillId="0" borderId="7" xfId="0" applyFont="1" applyFill="1" applyBorder="1" applyAlignment="1">
      <alignment vertical="top"/>
    </xf>
    <xf numFmtId="0" fontId="15" fillId="0" borderId="7" xfId="0" applyFont="1" applyFill="1" applyBorder="1" applyAlignment="1">
      <alignment vertical="top" wrapText="1"/>
    </xf>
    <xf numFmtId="165" fontId="15" fillId="0" borderId="7" xfId="0" applyNumberFormat="1" applyFont="1" applyFill="1" applyBorder="1" applyAlignment="1">
      <alignment vertical="top"/>
    </xf>
    <xf numFmtId="165" fontId="15" fillId="0" borderId="7" xfId="0" applyNumberFormat="1" applyFont="1" applyFill="1" applyBorder="1" applyAlignment="1">
      <alignment vertical="top" wrapText="1"/>
    </xf>
    <xf numFmtId="166" fontId="15" fillId="0" borderId="7" xfId="0" applyNumberFormat="1" applyFont="1" applyFill="1" applyBorder="1" applyAlignment="1">
      <alignment horizontal="center" vertical="top"/>
    </xf>
    <xf numFmtId="49" fontId="15" fillId="0" borderId="7" xfId="0" applyNumberFormat="1" applyFont="1" applyFill="1" applyBorder="1" applyAlignment="1">
      <alignment horizontal="right" vertical="top"/>
    </xf>
    <xf numFmtId="49" fontId="14" fillId="0" borderId="7" xfId="0" applyNumberFormat="1" applyFont="1" applyFill="1" applyBorder="1" applyAlignment="1">
      <alignment horizontal="right" vertical="top"/>
    </xf>
    <xf numFmtId="42" fontId="14" fillId="0" borderId="7" xfId="0" applyNumberFormat="1" applyFont="1" applyFill="1" applyBorder="1" applyAlignment="1">
      <alignment vertical="top"/>
    </xf>
    <xf numFmtId="0" fontId="17" fillId="0" borderId="6" xfId="0" applyFont="1" applyFill="1" applyBorder="1" applyAlignment="1">
      <alignment horizontal="left" vertical="top" wrapText="1"/>
    </xf>
    <xf numFmtId="0" fontId="17" fillId="0" borderId="6" xfId="0" applyFont="1" applyFill="1" applyBorder="1" applyAlignment="1">
      <alignment horizontal="left" vertical="top"/>
    </xf>
    <xf numFmtId="166" fontId="17" fillId="0" borderId="6" xfId="0" applyNumberFormat="1" applyFont="1" applyFill="1" applyBorder="1" applyAlignment="1">
      <alignment horizontal="center" vertical="top"/>
    </xf>
    <xf numFmtId="14" fontId="17" fillId="0" borderId="6" xfId="0" applyNumberFormat="1" applyFont="1" applyFill="1" applyBorder="1" applyAlignment="1">
      <alignment horizontal="right" vertical="top"/>
    </xf>
    <xf numFmtId="0" fontId="15" fillId="0" borderId="0" xfId="0" applyFont="1" applyFill="1" applyBorder="1" applyAlignment="1">
      <alignment vertical="top" wrapText="1"/>
    </xf>
    <xf numFmtId="0" fontId="0" fillId="0" borderId="1" xfId="0" applyFill="1" applyBorder="1" applyAlignment="1">
      <alignment wrapText="1"/>
    </xf>
    <xf numFmtId="0" fontId="15" fillId="0" borderId="18" xfId="0" applyFont="1" applyFill="1" applyBorder="1" applyAlignment="1">
      <alignment vertical="top"/>
    </xf>
    <xf numFmtId="42" fontId="14" fillId="0" borderId="18" xfId="0" applyNumberFormat="1" applyFont="1" applyFill="1" applyBorder="1" applyAlignment="1">
      <alignment vertical="top"/>
    </xf>
    <xf numFmtId="0" fontId="15" fillId="0" borderId="10" xfId="0" applyFont="1" applyFill="1" applyBorder="1" applyAlignment="1">
      <alignment vertical="top"/>
    </xf>
    <xf numFmtId="49" fontId="14" fillId="0" borderId="6" xfId="0" applyNumberFormat="1" applyFont="1" applyFill="1" applyBorder="1" applyAlignment="1">
      <alignment horizontal="right" vertical="top" wrapText="1"/>
    </xf>
    <xf numFmtId="42" fontId="37" fillId="0" borderId="12" xfId="0" applyNumberFormat="1" applyFont="1" applyBorder="1" applyAlignment="1">
      <alignment vertical="top" wrapText="1"/>
    </xf>
    <xf numFmtId="0" fontId="29" fillId="0" borderId="0" xfId="0" applyFont="1"/>
    <xf numFmtId="0" fontId="14" fillId="0" borderId="0" xfId="0" applyFont="1"/>
    <xf numFmtId="4" fontId="14" fillId="0" borderId="0" xfId="0" applyNumberFormat="1" applyFont="1"/>
    <xf numFmtId="14" fontId="34" fillId="0" borderId="0" xfId="0" applyNumberFormat="1" applyFont="1" applyAlignment="1">
      <alignment horizontal="right"/>
    </xf>
    <xf numFmtId="4" fontId="34" fillId="0" borderId="0" xfId="0" applyNumberFormat="1" applyFont="1"/>
    <xf numFmtId="0" fontId="34" fillId="0" borderId="0" xfId="0" applyFont="1" applyAlignment="1">
      <alignment horizontal="right"/>
    </xf>
    <xf numFmtId="0" fontId="38" fillId="0" borderId="0" xfId="0" applyFont="1" applyAlignment="1">
      <alignment horizontal="right"/>
    </xf>
    <xf numFmtId="0" fontId="38" fillId="0" borderId="0" xfId="0" applyFont="1"/>
    <xf numFmtId="0" fontId="7" fillId="0" borderId="0" xfId="0" applyFont="1" applyAlignment="1">
      <alignment horizontal="right"/>
    </xf>
    <xf numFmtId="44" fontId="16" fillId="0" borderId="1" xfId="2" applyFont="1" applyFill="1" applyBorder="1" applyAlignment="1">
      <alignment horizontal="center" vertical="top"/>
    </xf>
    <xf numFmtId="14" fontId="16" fillId="0" borderId="6" xfId="0" applyNumberFormat="1" applyFont="1" applyFill="1" applyBorder="1" applyAlignment="1">
      <alignment horizontal="right" vertical="top"/>
    </xf>
    <xf numFmtId="44" fontId="16" fillId="0" borderId="1" xfId="2" applyFont="1" applyFill="1" applyBorder="1" applyAlignment="1">
      <alignment horizontal="left" vertical="top"/>
    </xf>
    <xf numFmtId="0" fontId="35" fillId="0" borderId="13" xfId="0" applyFont="1" applyFill="1" applyBorder="1" applyAlignment="1">
      <alignment horizontal="right" vertical="top" wrapText="1"/>
    </xf>
    <xf numFmtId="14" fontId="29" fillId="0" borderId="0" xfId="0" applyNumberFormat="1" applyFont="1" applyAlignment="1">
      <alignment horizontal="right"/>
    </xf>
    <xf numFmtId="4" fontId="29" fillId="0" borderId="0" xfId="0" applyNumberFormat="1" applyFont="1"/>
    <xf numFmtId="0" fontId="29" fillId="0" borderId="0" xfId="0" applyFont="1" applyAlignment="1">
      <alignment horizontal="right"/>
    </xf>
    <xf numFmtId="0" fontId="15" fillId="0" borderId="6" xfId="0" applyFont="1" applyFill="1" applyBorder="1" applyAlignment="1">
      <alignment horizontal="left" vertical="top" wrapText="1"/>
    </xf>
    <xf numFmtId="0" fontId="39" fillId="0" borderId="1" xfId="0" applyFont="1" applyFill="1" applyBorder="1" applyAlignment="1">
      <alignment horizontal="left"/>
    </xf>
    <xf numFmtId="165" fontId="40" fillId="0" borderId="0" xfId="0" applyNumberFormat="1" applyFont="1" applyAlignment="1">
      <alignment horizontal="left" vertical="top"/>
    </xf>
    <xf numFmtId="165" fontId="41" fillId="4" borderId="2" xfId="0" applyNumberFormat="1" applyFont="1" applyFill="1" applyBorder="1" applyAlignment="1">
      <alignment horizontal="center" textRotation="45" wrapText="1"/>
    </xf>
    <xf numFmtId="165" fontId="40" fillId="0" borderId="1" xfId="0" applyNumberFormat="1" applyFont="1" applyFill="1" applyBorder="1" applyAlignment="1">
      <alignment horizontal="left" vertical="top" wrapText="1"/>
    </xf>
    <xf numFmtId="0" fontId="39" fillId="0" borderId="1" xfId="0" quotePrefix="1" applyFont="1" applyFill="1" applyBorder="1" applyAlignment="1">
      <alignment horizontal="left" vertical="top"/>
    </xf>
    <xf numFmtId="165" fontId="40" fillId="0" borderId="6" xfId="0" applyNumberFormat="1" applyFont="1" applyFill="1" applyBorder="1" applyAlignment="1">
      <alignment horizontal="left" vertical="top" wrapText="1"/>
    </xf>
    <xf numFmtId="0" fontId="40" fillId="0" borderId="6" xfId="0" applyNumberFormat="1" applyFont="1" applyFill="1" applyBorder="1" applyAlignment="1">
      <alignment horizontal="left" vertical="top" wrapText="1"/>
    </xf>
    <xf numFmtId="165" fontId="40" fillId="0" borderId="1" xfId="0" applyNumberFormat="1" applyFont="1" applyFill="1" applyBorder="1" applyAlignment="1">
      <alignment horizontal="left" vertical="top"/>
    </xf>
    <xf numFmtId="0" fontId="40" fillId="0" borderId="1" xfId="0" applyFont="1" applyFill="1" applyBorder="1" applyAlignment="1">
      <alignment horizontal="left" vertical="top"/>
    </xf>
    <xf numFmtId="165" fontId="40" fillId="0" borderId="6" xfId="0" applyNumberFormat="1" applyFont="1" applyFill="1" applyBorder="1" applyAlignment="1">
      <alignment horizontal="left" vertical="top"/>
    </xf>
    <xf numFmtId="0" fontId="40" fillId="0" borderId="1" xfId="0" applyFont="1" applyFill="1" applyBorder="1" applyAlignment="1">
      <alignment horizontal="left" vertical="top" wrapText="1"/>
    </xf>
    <xf numFmtId="0" fontId="40" fillId="0" borderId="6" xfId="0" applyFont="1" applyFill="1" applyBorder="1" applyAlignment="1">
      <alignment horizontal="left" vertical="top"/>
    </xf>
    <xf numFmtId="165" fontId="40" fillId="0" borderId="4" xfId="0" applyNumberFormat="1" applyFont="1" applyFill="1" applyBorder="1" applyAlignment="1">
      <alignment horizontal="left" vertical="top"/>
    </xf>
    <xf numFmtId="0" fontId="40" fillId="0" borderId="1" xfId="0" applyNumberFormat="1" applyFont="1" applyFill="1" applyBorder="1" applyAlignment="1">
      <alignment horizontal="left" vertical="top"/>
    </xf>
    <xf numFmtId="0" fontId="42" fillId="0" borderId="1" xfId="0" applyFont="1" applyFill="1" applyBorder="1" applyAlignment="1">
      <alignment horizontal="left"/>
    </xf>
    <xf numFmtId="0" fontId="40" fillId="0" borderId="1" xfId="0" applyFont="1" applyBorder="1" applyAlignment="1">
      <alignment horizontal="left" vertical="top"/>
    </xf>
    <xf numFmtId="0" fontId="41" fillId="4" borderId="2" xfId="0" applyFont="1" applyFill="1" applyBorder="1" applyAlignment="1">
      <alignment horizontal="center" textRotation="45" wrapText="1"/>
    </xf>
    <xf numFmtId="166" fontId="41" fillId="4" borderId="2" xfId="0" applyNumberFormat="1" applyFont="1" applyFill="1" applyBorder="1" applyAlignment="1">
      <alignment horizontal="center" textRotation="45" wrapText="1"/>
    </xf>
    <xf numFmtId="49" fontId="41" fillId="4" borderId="2" xfId="0" applyNumberFormat="1" applyFont="1" applyFill="1" applyBorder="1" applyAlignment="1">
      <alignment horizontal="center" textRotation="45" wrapText="1"/>
    </xf>
    <xf numFmtId="3" fontId="41" fillId="4" borderId="2" xfId="0" applyNumberFormat="1" applyFont="1" applyFill="1" applyBorder="1" applyAlignment="1">
      <alignment horizontal="center" textRotation="45" wrapText="1"/>
    </xf>
    <xf numFmtId="0" fontId="41" fillId="6" borderId="2" xfId="0" applyFont="1" applyFill="1" applyBorder="1" applyAlignment="1">
      <alignment horizontal="center" textRotation="45" wrapText="1"/>
    </xf>
    <xf numFmtId="0" fontId="41" fillId="4" borderId="2" xfId="0" applyFont="1" applyFill="1" applyBorder="1" applyAlignment="1">
      <alignment horizontal="center" textRotation="45" wrapText="1" shrinkToFit="1"/>
    </xf>
    <xf numFmtId="0" fontId="43" fillId="0" borderId="0" xfId="0" applyFont="1" applyAlignment="1">
      <alignment horizontal="center" vertical="top"/>
    </xf>
    <xf numFmtId="42" fontId="41" fillId="4" borderId="2" xfId="0" applyNumberFormat="1" applyFont="1" applyFill="1" applyBorder="1" applyAlignment="1">
      <alignment horizontal="center" textRotation="45" wrapText="1"/>
    </xf>
    <xf numFmtId="0" fontId="41" fillId="5" borderId="9" xfId="0" applyNumberFormat="1" applyFont="1" applyFill="1" applyBorder="1" applyAlignment="1">
      <alignment horizontal="center" vertical="center" textRotation="45"/>
    </xf>
    <xf numFmtId="44" fontId="41" fillId="5" borderId="9" xfId="0" applyNumberFormat="1" applyFont="1" applyFill="1" applyBorder="1" applyAlignment="1">
      <alignment horizontal="center" vertical="center" textRotation="45"/>
    </xf>
    <xf numFmtId="44" fontId="41" fillId="0" borderId="0" xfId="2" applyFont="1" applyAlignment="1">
      <alignment horizontal="center" vertical="center" wrapText="1"/>
    </xf>
    <xf numFmtId="0" fontId="44" fillId="0" borderId="0" xfId="0" applyFont="1" applyAlignment="1">
      <alignment horizontal="center" vertical="center" wrapText="1"/>
    </xf>
    <xf numFmtId="0" fontId="43" fillId="0" borderId="0" xfId="0" applyFont="1" applyAlignment="1">
      <alignment horizontal="center" vertical="center"/>
    </xf>
    <xf numFmtId="0" fontId="41" fillId="4" borderId="2" xfId="0" applyFont="1" applyFill="1" applyBorder="1" applyAlignment="1">
      <alignment textRotation="45" wrapText="1"/>
    </xf>
    <xf numFmtId="165" fontId="41" fillId="4" borderId="2" xfId="0" applyNumberFormat="1" applyFont="1" applyFill="1" applyBorder="1" applyAlignment="1">
      <alignment textRotation="45" wrapText="1"/>
    </xf>
    <xf numFmtId="166" fontId="41" fillId="4" borderId="2" xfId="0" applyNumberFormat="1" applyFont="1" applyFill="1" applyBorder="1" applyAlignment="1">
      <alignment textRotation="45" wrapText="1"/>
    </xf>
    <xf numFmtId="49" fontId="41" fillId="4" borderId="2" xfId="0" applyNumberFormat="1" applyFont="1" applyFill="1" applyBorder="1" applyAlignment="1">
      <alignment textRotation="45" wrapText="1"/>
    </xf>
    <xf numFmtId="42" fontId="41" fillId="4" borderId="2" xfId="0" applyNumberFormat="1" applyFont="1" applyFill="1" applyBorder="1" applyAlignment="1">
      <alignment textRotation="45" wrapText="1"/>
    </xf>
    <xf numFmtId="0" fontId="41" fillId="6" borderId="2" xfId="0" applyFont="1" applyFill="1" applyBorder="1" applyAlignment="1">
      <alignment textRotation="45" wrapText="1"/>
    </xf>
    <xf numFmtId="0" fontId="41" fillId="4" borderId="2" xfId="0" applyFont="1" applyFill="1" applyBorder="1" applyAlignment="1">
      <alignment textRotation="45" wrapText="1" shrinkToFit="1"/>
    </xf>
    <xf numFmtId="0" fontId="41" fillId="4" borderId="23" xfId="0" applyFont="1" applyFill="1" applyBorder="1" applyAlignment="1">
      <alignment horizontal="center" textRotation="45" wrapText="1"/>
    </xf>
    <xf numFmtId="49" fontId="18" fillId="0" borderId="1" xfId="0" applyNumberFormat="1" applyFont="1" applyFill="1" applyBorder="1" applyAlignment="1">
      <alignment horizontal="right" vertical="top" wrapText="1"/>
    </xf>
    <xf numFmtId="49" fontId="18" fillId="0" borderId="6" xfId="0" applyNumberFormat="1" applyFont="1" applyFill="1" applyBorder="1" applyAlignment="1">
      <alignment horizontal="right" vertical="top" wrapText="1"/>
    </xf>
    <xf numFmtId="0" fontId="45" fillId="0" borderId="1" xfId="0" applyFont="1" applyBorder="1"/>
    <xf numFmtId="165" fontId="15" fillId="0" borderId="18" xfId="0" applyNumberFormat="1" applyFont="1" applyFill="1" applyBorder="1" applyAlignment="1">
      <alignment vertical="top"/>
    </xf>
    <xf numFmtId="0" fontId="15" fillId="0" borderId="6" xfId="0" applyFont="1" applyFill="1" applyBorder="1" applyAlignment="1">
      <alignment horizontal="left" vertical="top" wrapText="1"/>
    </xf>
    <xf numFmtId="0" fontId="40" fillId="0" borderId="0" xfId="0" applyFont="1" applyAlignment="1">
      <alignment horizontal="left"/>
    </xf>
    <xf numFmtId="0" fontId="40" fillId="0" borderId="3"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0" xfId="0" applyFont="1" applyBorder="1" applyAlignment="1">
      <alignment horizontal="left" wrapText="1"/>
    </xf>
    <xf numFmtId="0" fontId="40" fillId="0" borderId="1" xfId="0" applyFont="1" applyBorder="1" applyAlignment="1">
      <alignment vertical="top" wrapText="1"/>
    </xf>
    <xf numFmtId="165" fontId="14" fillId="4" borderId="2" xfId="0" applyNumberFormat="1" applyFont="1" applyFill="1" applyBorder="1" applyAlignment="1">
      <alignment horizontal="center" textRotation="45" wrapText="1"/>
    </xf>
    <xf numFmtId="0" fontId="41" fillId="2" borderId="3" xfId="0" applyFont="1" applyFill="1" applyBorder="1" applyAlignment="1">
      <alignment horizontal="left" wrapText="1"/>
    </xf>
    <xf numFmtId="0" fontId="40" fillId="0" borderId="1" xfId="0" applyNumberFormat="1" applyFont="1" applyFill="1" applyBorder="1" applyAlignment="1">
      <alignment horizontal="left" vertical="top" wrapText="1"/>
    </xf>
    <xf numFmtId="49" fontId="40" fillId="0" borderId="6" xfId="0" applyNumberFormat="1" applyFont="1" applyFill="1" applyBorder="1" applyAlignment="1">
      <alignment horizontal="left" vertical="top" wrapText="1"/>
    </xf>
    <xf numFmtId="0" fontId="17" fillId="0" borderId="3" xfId="0" applyFont="1" applyFill="1" applyBorder="1" applyAlignment="1">
      <alignment horizontal="left" vertical="top" wrapText="1"/>
    </xf>
    <xf numFmtId="166" fontId="17" fillId="0" borderId="3" xfId="0" applyNumberFormat="1" applyFont="1" applyFill="1" applyBorder="1" applyAlignment="1">
      <alignment horizontal="center" vertical="top"/>
    </xf>
    <xf numFmtId="14" fontId="17" fillId="0" borderId="3" xfId="0" applyNumberFormat="1" applyFont="1" applyFill="1" applyBorder="1" applyAlignment="1">
      <alignment horizontal="right" vertical="top"/>
    </xf>
    <xf numFmtId="14" fontId="16" fillId="0" borderId="3" xfId="0" applyNumberFormat="1" applyFont="1" applyFill="1" applyBorder="1" applyAlignment="1">
      <alignment horizontal="right" vertical="top"/>
    </xf>
    <xf numFmtId="49" fontId="16" fillId="0" borderId="4" xfId="0" applyNumberFormat="1" applyFont="1" applyFill="1" applyBorder="1" applyAlignment="1">
      <alignment horizontal="right" vertical="top"/>
    </xf>
    <xf numFmtId="0" fontId="15" fillId="0" borderId="1" xfId="0" applyNumberFormat="1" applyFont="1" applyFill="1" applyBorder="1" applyAlignment="1">
      <alignment horizontal="left" vertical="top" wrapText="1"/>
    </xf>
    <xf numFmtId="49" fontId="15" fillId="0" borderId="6" xfId="0" applyNumberFormat="1" applyFont="1" applyFill="1" applyBorder="1" applyAlignment="1">
      <alignment horizontal="left" vertical="top" wrapText="1"/>
    </xf>
    <xf numFmtId="0" fontId="8" fillId="0" borderId="1" xfId="0" applyFont="1" applyBorder="1" applyAlignment="1">
      <alignment horizontal="center" vertical="center"/>
    </xf>
    <xf numFmtId="165" fontId="15" fillId="0" borderId="8" xfId="0" applyNumberFormat="1" applyFont="1" applyFill="1" applyBorder="1" applyAlignment="1">
      <alignment vertical="top"/>
    </xf>
    <xf numFmtId="165" fontId="15" fillId="0" borderId="8" xfId="0" applyNumberFormat="1" applyFont="1" applyFill="1" applyBorder="1" applyAlignment="1">
      <alignment vertical="top" wrapText="1"/>
    </xf>
    <xf numFmtId="49" fontId="14" fillId="0" borderId="8" xfId="0" applyNumberFormat="1" applyFont="1" applyFill="1" applyBorder="1" applyAlignment="1">
      <alignment horizontal="right" vertical="top"/>
    </xf>
    <xf numFmtId="0" fontId="15" fillId="0" borderId="1" xfId="0" applyFont="1" applyFill="1" applyBorder="1" applyAlignment="1">
      <alignment vertical="top" wrapText="1" shrinkToFit="1"/>
    </xf>
    <xf numFmtId="0" fontId="15" fillId="3" borderId="1" xfId="0" applyFont="1" applyFill="1" applyBorder="1" applyAlignment="1">
      <alignment vertical="top"/>
    </xf>
    <xf numFmtId="4" fontId="31" fillId="3" borderId="1" xfId="0" applyNumberFormat="1" applyFont="1" applyFill="1" applyBorder="1" applyAlignment="1">
      <alignment horizontal="right" vertical="top"/>
    </xf>
    <xf numFmtId="14" fontId="17" fillId="0" borderId="1" xfId="0" applyNumberFormat="1" applyFont="1" applyFill="1" applyBorder="1" applyAlignment="1">
      <alignment horizontal="left" vertical="top"/>
    </xf>
    <xf numFmtId="0" fontId="17" fillId="0" borderId="1" xfId="0" quotePrefix="1" applyFont="1" applyFill="1" applyBorder="1" applyAlignment="1">
      <alignment horizontal="center" vertical="top"/>
    </xf>
    <xf numFmtId="0" fontId="1" fillId="0" borderId="0" xfId="0" applyFont="1" applyAlignment="1">
      <alignment wrapText="1"/>
    </xf>
    <xf numFmtId="14" fontId="15" fillId="0" borderId="1" xfId="0" applyNumberFormat="1" applyFont="1" applyFill="1" applyBorder="1" applyAlignment="1">
      <alignment horizontal="left" vertical="top"/>
    </xf>
    <xf numFmtId="0" fontId="15" fillId="0" borderId="1" xfId="0" applyFont="1" applyFill="1" applyBorder="1" applyAlignment="1">
      <alignment horizontal="center" vertical="top"/>
    </xf>
    <xf numFmtId="0" fontId="0" fillId="0" borderId="1" xfId="0" applyBorder="1" applyAlignment="1">
      <alignment wrapText="1"/>
    </xf>
    <xf numFmtId="0" fontId="41" fillId="5" borderId="8" xfId="0" applyNumberFormat="1" applyFont="1" applyFill="1" applyBorder="1" applyAlignment="1">
      <alignment horizontal="center" vertical="center" textRotation="45"/>
    </xf>
    <xf numFmtId="44" fontId="41" fillId="5" borderId="8" xfId="0" applyNumberFormat="1" applyFont="1" applyFill="1" applyBorder="1" applyAlignment="1">
      <alignment horizontal="center" vertical="center" textRotation="45"/>
    </xf>
    <xf numFmtId="0" fontId="14" fillId="0" borderId="2" xfId="0" applyFont="1" applyFill="1" applyBorder="1" applyAlignment="1">
      <alignment vertical="top"/>
    </xf>
    <xf numFmtId="0" fontId="15" fillId="0" borderId="2" xfId="0" applyFont="1" applyFill="1" applyBorder="1" applyAlignment="1">
      <alignment vertical="top"/>
    </xf>
    <xf numFmtId="166" fontId="15" fillId="0" borderId="2" xfId="0" applyNumberFormat="1" applyFont="1" applyFill="1" applyBorder="1" applyAlignment="1">
      <alignment vertical="top"/>
    </xf>
    <xf numFmtId="42" fontId="14" fillId="0" borderId="2" xfId="0" applyNumberFormat="1" applyFont="1" applyFill="1" applyBorder="1" applyAlignment="1">
      <alignment vertical="top"/>
    </xf>
    <xf numFmtId="0" fontId="15" fillId="0" borderId="6" xfId="0" applyFont="1" applyFill="1" applyBorder="1" applyAlignment="1">
      <alignment horizontal="left" vertical="top" wrapText="1"/>
    </xf>
    <xf numFmtId="0" fontId="15" fillId="3" borderId="0" xfId="0" applyFont="1" applyFill="1" applyAlignment="1">
      <alignment vertical="top"/>
    </xf>
    <xf numFmtId="0" fontId="15" fillId="3" borderId="1" xfId="0" applyFont="1" applyFill="1" applyBorder="1" applyAlignment="1">
      <alignment vertical="top" wrapText="1"/>
    </xf>
    <xf numFmtId="165" fontId="15" fillId="3" borderId="1" xfId="0" applyNumberFormat="1" applyFont="1" applyFill="1" applyBorder="1" applyAlignment="1">
      <alignment vertical="top"/>
    </xf>
    <xf numFmtId="166" fontId="15" fillId="3" borderId="1" xfId="0" applyNumberFormat="1" applyFont="1" applyFill="1" applyBorder="1" applyAlignment="1">
      <alignment vertical="top"/>
    </xf>
    <xf numFmtId="49" fontId="15" fillId="3" borderId="1" xfId="0" applyNumberFormat="1" applyFont="1" applyFill="1" applyBorder="1" applyAlignment="1">
      <alignment vertical="top"/>
    </xf>
    <xf numFmtId="49" fontId="14" fillId="3" borderId="1" xfId="0" applyNumberFormat="1" applyFont="1" applyFill="1" applyBorder="1" applyAlignment="1">
      <alignment vertical="top"/>
    </xf>
    <xf numFmtId="42" fontId="14" fillId="3" borderId="1" xfId="0" applyNumberFormat="1" applyFont="1" applyFill="1" applyBorder="1" applyAlignment="1">
      <alignment vertical="top"/>
    </xf>
    <xf numFmtId="44" fontId="15" fillId="3" borderId="1" xfId="2" applyFont="1" applyFill="1" applyBorder="1" applyAlignment="1">
      <alignment vertical="top"/>
    </xf>
    <xf numFmtId="44" fontId="15" fillId="3" borderId="0" xfId="2" applyFont="1" applyFill="1" applyAlignment="1">
      <alignment horizontal="left" vertical="top"/>
    </xf>
    <xf numFmtId="44" fontId="15" fillId="3" borderId="0" xfId="2" applyFont="1" applyFill="1" applyAlignment="1">
      <alignment horizontal="left" vertical="top" wrapText="1"/>
    </xf>
    <xf numFmtId="0" fontId="8" fillId="3" borderId="0" xfId="0" applyFont="1" applyFill="1" applyAlignment="1">
      <alignment vertical="top"/>
    </xf>
    <xf numFmtId="0" fontId="15" fillId="0" borderId="1" xfId="0" applyFont="1" applyFill="1" applyBorder="1" applyAlignment="1">
      <alignment horizontal="justify" vertical="top"/>
    </xf>
    <xf numFmtId="0" fontId="40" fillId="0" borderId="1" xfId="0" applyFont="1" applyFill="1" applyBorder="1" applyAlignment="1">
      <alignment horizontal="justify" vertical="top"/>
    </xf>
    <xf numFmtId="0" fontId="0" fillId="0" borderId="0" xfId="0" applyFont="1"/>
    <xf numFmtId="165" fontId="17" fillId="0" borderId="1" xfId="0" applyNumberFormat="1" applyFont="1" applyFill="1" applyBorder="1" applyAlignment="1">
      <alignment horizontal="left" vertical="top" wrapText="1"/>
    </xf>
    <xf numFmtId="165" fontId="17" fillId="0" borderId="1" xfId="0" applyNumberFormat="1" applyFont="1" applyFill="1" applyBorder="1" applyAlignment="1">
      <alignment horizontal="left" vertical="top"/>
    </xf>
    <xf numFmtId="0" fontId="0" fillId="0" borderId="0" xfId="0" applyFont="1" applyAlignment="1">
      <alignment wrapText="1"/>
    </xf>
    <xf numFmtId="42" fontId="16" fillId="0" borderId="1" xfId="0" applyNumberFormat="1" applyFont="1" applyFill="1" applyBorder="1" applyAlignment="1">
      <alignment horizontal="left" vertical="top"/>
    </xf>
    <xf numFmtId="44" fontId="14" fillId="3" borderId="1" xfId="2" applyFont="1" applyFill="1" applyBorder="1" applyAlignment="1">
      <alignment horizontal="right" vertical="top"/>
    </xf>
    <xf numFmtId="44" fontId="15" fillId="0" borderId="4" xfId="2" applyFont="1" applyFill="1" applyBorder="1" applyAlignment="1">
      <alignment vertical="top"/>
    </xf>
    <xf numFmtId="0" fontId="15" fillId="0" borderId="4" xfId="0" applyFont="1" applyBorder="1" applyAlignment="1">
      <alignment horizontal="center"/>
    </xf>
    <xf numFmtId="44" fontId="15" fillId="0" borderId="4" xfId="2" applyFont="1" applyFill="1" applyBorder="1" applyAlignment="1">
      <alignment horizontal="left" vertical="top" wrapText="1"/>
    </xf>
    <xf numFmtId="44" fontId="15" fillId="0" borderId="4" xfId="2" applyFont="1" applyFill="1" applyBorder="1" applyAlignment="1">
      <alignment horizontal="left" vertical="top"/>
    </xf>
    <xf numFmtId="0" fontId="40" fillId="4" borderId="6" xfId="0" applyFont="1" applyFill="1" applyBorder="1" applyAlignment="1">
      <alignment horizontal="center" textRotation="45" wrapText="1"/>
    </xf>
    <xf numFmtId="165" fontId="41" fillId="4" borderId="6" xfId="0" applyNumberFormat="1" applyFont="1" applyFill="1" applyBorder="1" applyAlignment="1">
      <alignment horizontal="center" textRotation="45" wrapText="1"/>
    </xf>
    <xf numFmtId="166" fontId="41" fillId="4" borderId="6" xfId="0" applyNumberFormat="1" applyFont="1" applyFill="1" applyBorder="1" applyAlignment="1">
      <alignment horizontal="center" textRotation="45" wrapText="1"/>
    </xf>
    <xf numFmtId="49" fontId="41" fillId="4" borderId="6" xfId="0" applyNumberFormat="1" applyFont="1" applyFill="1" applyBorder="1" applyAlignment="1">
      <alignment horizontal="center" textRotation="45" wrapText="1"/>
    </xf>
    <xf numFmtId="42" fontId="41" fillId="4" borderId="6" xfId="0" applyNumberFormat="1" applyFont="1" applyFill="1" applyBorder="1" applyAlignment="1">
      <alignment horizontal="center" textRotation="45" wrapText="1"/>
    </xf>
    <xf numFmtId="0" fontId="41" fillId="6" borderId="6" xfId="0" applyFont="1" applyFill="1" applyBorder="1" applyAlignment="1">
      <alignment horizontal="center" textRotation="45" wrapText="1"/>
    </xf>
    <xf numFmtId="0" fontId="41" fillId="4" borderId="6" xfId="0" applyFont="1" applyFill="1" applyBorder="1" applyAlignment="1">
      <alignment horizontal="center" textRotation="45" wrapText="1" shrinkToFit="1"/>
    </xf>
    <xf numFmtId="0" fontId="41" fillId="4" borderId="6" xfId="0" applyFont="1" applyFill="1" applyBorder="1" applyAlignment="1">
      <alignment horizontal="center" textRotation="45" wrapText="1"/>
    </xf>
    <xf numFmtId="3" fontId="46" fillId="0" borderId="0" xfId="0" applyNumberFormat="1" applyFont="1"/>
    <xf numFmtId="42" fontId="29" fillId="0" borderId="0" xfId="0" applyNumberFormat="1" applyFont="1"/>
    <xf numFmtId="0" fontId="40" fillId="4" borderId="22" xfId="0" applyFont="1" applyFill="1" applyBorder="1" applyAlignment="1">
      <alignment horizontal="center" textRotation="45" wrapText="1"/>
    </xf>
    <xf numFmtId="0" fontId="40" fillId="2" borderId="19" xfId="0" applyFont="1" applyFill="1" applyBorder="1" applyAlignment="1">
      <alignment horizontal="left" wrapText="1"/>
    </xf>
    <xf numFmtId="0" fontId="40" fillId="0" borderId="1" xfId="0" applyFont="1" applyBorder="1" applyAlignment="1">
      <alignment vertical="top"/>
    </xf>
    <xf numFmtId="166" fontId="15" fillId="0" borderId="1" xfId="0" applyNumberFormat="1" applyFont="1" applyFill="1" applyBorder="1" applyAlignment="1">
      <alignment vertical="top"/>
    </xf>
    <xf numFmtId="49" fontId="15" fillId="0" borderId="1" xfId="0" applyNumberFormat="1" applyFont="1" applyFill="1" applyBorder="1" applyAlignment="1">
      <alignment vertical="top"/>
    </xf>
    <xf numFmtId="49" fontId="16" fillId="0" borderId="1" xfId="0" applyNumberFormat="1" applyFont="1" applyFill="1" applyBorder="1" applyAlignment="1">
      <alignment vertical="top"/>
    </xf>
    <xf numFmtId="42" fontId="49" fillId="0" borderId="0" xfId="0" applyNumberFormat="1" applyFont="1"/>
    <xf numFmtId="42" fontId="50" fillId="0" borderId="0" xfId="0" applyNumberFormat="1" applyFont="1"/>
    <xf numFmtId="44" fontId="14" fillId="0" borderId="1" xfId="2" applyFont="1" applyFill="1" applyBorder="1" applyAlignment="1">
      <alignment horizontal="left" vertical="top"/>
    </xf>
    <xf numFmtId="0" fontId="17" fillId="3" borderId="1" xfId="0" applyFont="1" applyFill="1" applyBorder="1" applyAlignment="1">
      <alignment horizontal="left" vertical="top" wrapText="1"/>
    </xf>
    <xf numFmtId="0" fontId="17" fillId="3" borderId="3" xfId="0" applyFont="1" applyFill="1" applyBorder="1" applyAlignment="1">
      <alignment horizontal="left" vertical="top" wrapText="1"/>
    </xf>
    <xf numFmtId="0" fontId="15" fillId="3" borderId="1" xfId="0" applyFont="1" applyFill="1" applyBorder="1" applyAlignment="1">
      <alignment horizontal="left" vertical="top" wrapText="1"/>
    </xf>
    <xf numFmtId="0" fontId="14" fillId="4" borderId="6" xfId="0" applyFont="1" applyFill="1" applyBorder="1" applyAlignment="1">
      <alignment horizontal="center" textRotation="45" wrapText="1"/>
    </xf>
    <xf numFmtId="0" fontId="0" fillId="0" borderId="1" xfId="0" applyFill="1" applyBorder="1" applyAlignment="1">
      <alignment horizontal="center" vertical="center" wrapText="1"/>
    </xf>
    <xf numFmtId="0" fontId="44" fillId="4" borderId="0" xfId="0" applyFont="1" applyFill="1" applyAlignment="1">
      <alignment horizontal="center" vertical="center" textRotation="45" wrapText="1"/>
    </xf>
    <xf numFmtId="0" fontId="0" fillId="0" borderId="0" xfId="0" applyAlignment="1">
      <alignment horizontal="center"/>
    </xf>
    <xf numFmtId="0" fontId="0" fillId="0" borderId="1" xfId="0" applyFill="1" applyBorder="1" applyAlignment="1">
      <alignment horizontal="center"/>
    </xf>
    <xf numFmtId="0" fontId="0" fillId="0" borderId="1" xfId="0" applyFont="1" applyBorder="1" applyAlignment="1">
      <alignment horizontal="center"/>
    </xf>
    <xf numFmtId="0" fontId="0" fillId="0" borderId="1" xfId="0" applyFill="1" applyBorder="1" applyAlignment="1">
      <alignment horizontal="center" vertical="top"/>
    </xf>
    <xf numFmtId="0" fontId="30" fillId="3" borderId="1" xfId="0" applyFont="1" applyFill="1" applyBorder="1" applyAlignment="1">
      <alignment horizontal="left" vertical="top"/>
    </xf>
    <xf numFmtId="0" fontId="17" fillId="0" borderId="1" xfId="0" applyFont="1" applyBorder="1" applyAlignment="1">
      <alignment horizontal="left" vertical="top" wrapText="1"/>
    </xf>
    <xf numFmtId="0" fontId="28" fillId="0" borderId="1" xfId="0" applyFont="1" applyFill="1" applyBorder="1" applyAlignment="1">
      <alignment vertical="top"/>
    </xf>
    <xf numFmtId="0" fontId="24" fillId="0" borderId="1" xfId="0" applyFont="1" applyFill="1" applyBorder="1" applyAlignment="1">
      <alignment vertical="top"/>
    </xf>
    <xf numFmtId="0" fontId="17" fillId="0" borderId="1" xfId="1" applyFont="1" applyFill="1" applyBorder="1" applyAlignment="1">
      <alignment vertical="top" wrapText="1"/>
    </xf>
    <xf numFmtId="0" fontId="33" fillId="0" borderId="0" xfId="0" applyFont="1" applyFill="1" applyAlignment="1">
      <alignment horizontal="left" vertical="top"/>
    </xf>
    <xf numFmtId="0" fontId="33" fillId="0" borderId="1" xfId="0" applyFont="1" applyFill="1" applyBorder="1" applyAlignment="1">
      <alignment horizontal="left" vertical="top"/>
    </xf>
    <xf numFmtId="44" fontId="33" fillId="0" borderId="0" xfId="2" applyFont="1" applyFill="1" applyAlignment="1">
      <alignment horizontal="left" vertical="top"/>
    </xf>
    <xf numFmtId="44" fontId="33" fillId="0" borderId="0" xfId="2" applyFont="1" applyFill="1" applyAlignment="1">
      <alignment horizontal="left" vertical="top" wrapText="1"/>
    </xf>
    <xf numFmtId="0" fontId="52" fillId="0" borderId="0" xfId="0" applyFont="1" applyFill="1" applyAlignment="1">
      <alignment horizontal="left" vertical="top"/>
    </xf>
    <xf numFmtId="0" fontId="33" fillId="0" borderId="0" xfId="0" applyFont="1" applyFill="1" applyAlignment="1">
      <alignment vertical="top"/>
    </xf>
    <xf numFmtId="44" fontId="33" fillId="0" borderId="1" xfId="2" applyFont="1" applyFill="1" applyBorder="1" applyAlignment="1">
      <alignment vertical="top"/>
    </xf>
    <xf numFmtId="0" fontId="52" fillId="0" borderId="0" xfId="0" applyFont="1" applyFill="1" applyAlignment="1">
      <alignment vertical="top"/>
    </xf>
    <xf numFmtId="14" fontId="15" fillId="0" borderId="1" xfId="0" applyNumberFormat="1" applyFont="1" applyFill="1" applyBorder="1" applyAlignment="1">
      <alignment horizontal="right" vertical="top"/>
    </xf>
    <xf numFmtId="14" fontId="14" fillId="0" borderId="1" xfId="0" applyNumberFormat="1" applyFont="1" applyFill="1" applyBorder="1" applyAlignment="1">
      <alignment horizontal="right" vertical="top"/>
    </xf>
    <xf numFmtId="0" fontId="17" fillId="5" borderId="1"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8" xfId="0" applyFont="1" applyFill="1" applyBorder="1" applyAlignment="1">
      <alignment horizontal="left" vertical="top" wrapText="1"/>
    </xf>
    <xf numFmtId="166" fontId="15" fillId="0" borderId="8" xfId="0" applyNumberFormat="1" applyFont="1" applyFill="1" applyBorder="1" applyAlignment="1">
      <alignment horizontal="center" vertical="top" wrapText="1"/>
    </xf>
    <xf numFmtId="49" fontId="15" fillId="0" borderId="8" xfId="0" applyNumberFormat="1" applyFont="1" applyFill="1" applyBorder="1" applyAlignment="1">
      <alignment horizontal="right" vertical="top" wrapText="1"/>
    </xf>
    <xf numFmtId="42" fontId="14" fillId="0" borderId="8" xfId="0" applyNumberFormat="1" applyFont="1" applyFill="1" applyBorder="1" applyAlignment="1">
      <alignment horizontal="left" vertical="top"/>
    </xf>
    <xf numFmtId="0" fontId="15" fillId="0" borderId="3" xfId="0" applyFont="1" applyFill="1" applyBorder="1" applyAlignment="1">
      <alignment horizontal="left" vertical="top" wrapText="1"/>
    </xf>
    <xf numFmtId="0" fontId="8" fillId="0" borderId="0" xfId="0" applyFont="1" applyAlignment="1">
      <alignment wrapText="1"/>
    </xf>
    <xf numFmtId="0" fontId="16" fillId="0" borderId="3" xfId="0" applyFont="1" applyFill="1" applyBorder="1" applyAlignment="1">
      <alignment vertical="top"/>
    </xf>
    <xf numFmtId="0" fontId="17" fillId="0" borderId="3" xfId="0" applyFont="1" applyFill="1" applyBorder="1" applyAlignment="1">
      <alignment vertical="top" wrapText="1"/>
    </xf>
    <xf numFmtId="0" fontId="17" fillId="0" borderId="3" xfId="0" applyFont="1" applyFill="1" applyBorder="1" applyAlignment="1">
      <alignment vertical="top"/>
    </xf>
    <xf numFmtId="166" fontId="17" fillId="0" borderId="3" xfId="0" applyNumberFormat="1" applyFont="1" applyFill="1" applyBorder="1" applyAlignment="1">
      <alignment horizontal="right" vertical="top"/>
    </xf>
    <xf numFmtId="49" fontId="17" fillId="0" borderId="3" xfId="0" applyNumberFormat="1" applyFont="1" applyFill="1" applyBorder="1" applyAlignment="1">
      <alignment horizontal="right" vertical="top"/>
    </xf>
    <xf numFmtId="42" fontId="16" fillId="0" borderId="3" xfId="0" applyNumberFormat="1" applyFont="1" applyFill="1" applyBorder="1" applyAlignment="1">
      <alignment vertical="top"/>
    </xf>
    <xf numFmtId="42" fontId="14" fillId="0" borderId="3" xfId="0" applyNumberFormat="1" applyFont="1" applyFill="1" applyBorder="1" applyAlignment="1">
      <alignment horizontal="left" vertical="top"/>
    </xf>
    <xf numFmtId="165" fontId="15" fillId="3" borderId="1" xfId="0" applyNumberFormat="1" applyFont="1" applyFill="1" applyBorder="1" applyAlignment="1">
      <alignment vertical="top" wrapText="1"/>
    </xf>
    <xf numFmtId="42" fontId="57" fillId="0" borderId="12" xfId="0" applyNumberFormat="1" applyFont="1" applyFill="1" applyBorder="1" applyAlignment="1">
      <alignment vertical="top" wrapText="1"/>
    </xf>
    <xf numFmtId="42" fontId="57" fillId="0" borderId="0" xfId="0" applyNumberFormat="1" applyFont="1"/>
    <xf numFmtId="42" fontId="57" fillId="0" borderId="21" xfId="0" applyNumberFormat="1" applyFont="1" applyFill="1" applyBorder="1" applyAlignment="1">
      <alignment vertical="top" wrapText="1"/>
    </xf>
    <xf numFmtId="42" fontId="57" fillId="0" borderId="21" xfId="0" applyNumberFormat="1" applyFont="1" applyBorder="1" applyAlignment="1">
      <alignment vertical="top" wrapText="1"/>
    </xf>
    <xf numFmtId="3" fontId="57" fillId="0" borderId="21" xfId="0" applyNumberFormat="1" applyFont="1" applyBorder="1" applyAlignment="1">
      <alignment vertical="top" wrapText="1"/>
    </xf>
    <xf numFmtId="42" fontId="58" fillId="0" borderId="21" xfId="0" applyNumberFormat="1" applyFont="1" applyBorder="1" applyAlignment="1">
      <alignment vertical="top" wrapText="1"/>
    </xf>
    <xf numFmtId="0" fontId="15" fillId="3" borderId="8" xfId="0" applyFont="1" applyFill="1" applyBorder="1" applyAlignment="1">
      <alignment horizontal="left" vertical="top" wrapText="1"/>
    </xf>
    <xf numFmtId="4" fontId="41" fillId="4" borderId="2" xfId="0" applyNumberFormat="1" applyFont="1" applyFill="1" applyBorder="1" applyAlignment="1">
      <alignment horizontal="center" textRotation="45" wrapText="1"/>
    </xf>
    <xf numFmtId="4" fontId="14" fillId="0" borderId="1" xfId="0" applyNumberFormat="1" applyFont="1" applyFill="1" applyBorder="1" applyAlignment="1">
      <alignment vertical="top"/>
    </xf>
    <xf numFmtId="4" fontId="54" fillId="0" borderId="0" xfId="0" applyNumberFormat="1" applyFont="1" applyAlignment="1">
      <alignment horizontal="center" vertical="center" wrapText="1"/>
    </xf>
    <xf numFmtId="4" fontId="53" fillId="0" borderId="0" xfId="0" applyNumberFormat="1" applyFont="1" applyAlignment="1">
      <alignment horizontal="center" vertical="center"/>
    </xf>
    <xf numFmtId="4" fontId="53" fillId="0" borderId="0" xfId="0" applyNumberFormat="1" applyFont="1" applyFill="1" applyAlignment="1">
      <alignment horizontal="center" vertical="center" wrapText="1"/>
    </xf>
    <xf numFmtId="4" fontId="53" fillId="0" borderId="0" xfId="0" applyNumberFormat="1" applyFont="1" applyFill="1" applyAlignment="1">
      <alignment horizontal="center" vertical="center"/>
    </xf>
    <xf numFmtId="4" fontId="54" fillId="0" borderId="0" xfId="0" applyNumberFormat="1" applyFont="1" applyFill="1" applyAlignment="1">
      <alignment horizontal="center" vertical="center"/>
    </xf>
    <xf numFmtId="4" fontId="53" fillId="0" borderId="0" xfId="2" applyNumberFormat="1" applyFont="1" applyFill="1" applyAlignment="1">
      <alignment horizontal="center" vertical="center"/>
    </xf>
    <xf numFmtId="4" fontId="53" fillId="0" borderId="0" xfId="0" applyNumberFormat="1" applyFont="1" applyFill="1" applyBorder="1" applyAlignment="1">
      <alignment horizontal="center" vertical="center"/>
    </xf>
    <xf numFmtId="4" fontId="54" fillId="0" borderId="0" xfId="0" applyNumberFormat="1" applyFont="1" applyFill="1" applyBorder="1" applyAlignment="1">
      <alignment horizontal="center" vertical="center"/>
    </xf>
    <xf numFmtId="4" fontId="55" fillId="0" borderId="0" xfId="0" applyNumberFormat="1" applyFont="1" applyFill="1" applyAlignment="1">
      <alignment horizontal="center" vertical="center"/>
    </xf>
    <xf numFmtId="4" fontId="54" fillId="0" borderId="0" xfId="0" applyNumberFormat="1" applyFont="1" applyFill="1" applyAlignment="1">
      <alignment horizontal="center" vertical="center" wrapText="1"/>
    </xf>
    <xf numFmtId="4" fontId="56" fillId="0" borderId="0" xfId="2" applyNumberFormat="1" applyFont="1" applyFill="1" applyAlignment="1">
      <alignment horizontal="center" vertical="center"/>
    </xf>
    <xf numFmtId="4" fontId="54" fillId="0" borderId="0" xfId="0" applyNumberFormat="1" applyFont="1" applyAlignment="1">
      <alignment horizontal="center" vertical="center"/>
    </xf>
    <xf numFmtId="0" fontId="47" fillId="0" borderId="8" xfId="0" applyFont="1" applyBorder="1" applyAlignment="1">
      <alignment vertical="top" wrapText="1"/>
    </xf>
    <xf numFmtId="0" fontId="47" fillId="0" borderId="0" xfId="0" applyFont="1" applyAlignment="1">
      <alignment wrapText="1"/>
    </xf>
    <xf numFmtId="0" fontId="14" fillId="0" borderId="8" xfId="0" applyFont="1" applyFill="1" applyBorder="1" applyAlignment="1">
      <alignment vertical="top" wrapText="1"/>
    </xf>
    <xf numFmtId="49" fontId="16" fillId="0" borderId="8" xfId="0" applyNumberFormat="1" applyFont="1" applyFill="1" applyBorder="1" applyAlignment="1">
      <alignment horizontal="right" vertical="top" wrapText="1"/>
    </xf>
    <xf numFmtId="42" fontId="14" fillId="0" borderId="8" xfId="0" applyNumberFormat="1" applyFont="1" applyFill="1" applyBorder="1" applyAlignment="1">
      <alignment vertical="top" wrapText="1"/>
    </xf>
    <xf numFmtId="0" fontId="14" fillId="0" borderId="3" xfId="0" applyFont="1" applyFill="1" applyBorder="1" applyAlignment="1">
      <alignment vertical="top" wrapText="1"/>
    </xf>
    <xf numFmtId="42" fontId="14" fillId="0" borderId="3" xfId="0" applyNumberFormat="1" applyFont="1" applyFill="1" applyBorder="1" applyAlignment="1">
      <alignment vertical="top" wrapText="1"/>
    </xf>
    <xf numFmtId="0" fontId="14" fillId="0" borderId="7" xfId="0" applyFont="1" applyFill="1" applyBorder="1" applyAlignment="1">
      <alignment vertical="top" wrapText="1"/>
    </xf>
    <xf numFmtId="49" fontId="16" fillId="0" borderId="7" xfId="0" applyNumberFormat="1" applyFont="1" applyFill="1" applyBorder="1" applyAlignment="1">
      <alignment horizontal="right" vertical="top" wrapText="1"/>
    </xf>
    <xf numFmtId="42" fontId="14" fillId="0" borderId="7" xfId="0" applyNumberFormat="1" applyFont="1" applyFill="1" applyBorder="1" applyAlignment="1">
      <alignment vertical="top" wrapText="1"/>
    </xf>
    <xf numFmtId="42" fontId="36" fillId="0" borderId="0" xfId="0" applyNumberFormat="1" applyFont="1" applyAlignment="1">
      <alignment wrapText="1"/>
    </xf>
    <xf numFmtId="0" fontId="15" fillId="0" borderId="0" xfId="0" applyFont="1" applyAlignment="1">
      <alignment horizontal="center" wrapText="1"/>
    </xf>
    <xf numFmtId="14" fontId="15" fillId="0" borderId="0" xfId="0" applyNumberFormat="1" applyFont="1" applyAlignment="1">
      <alignment wrapText="1"/>
    </xf>
    <xf numFmtId="0" fontId="30" fillId="0" borderId="1" xfId="0" applyFont="1" applyFill="1" applyBorder="1" applyAlignment="1">
      <alignment horizontal="left" vertical="top" wrapText="1"/>
    </xf>
    <xf numFmtId="49" fontId="41" fillId="4" borderId="6" xfId="0" applyNumberFormat="1" applyFont="1" applyFill="1" applyBorder="1" applyAlignment="1">
      <alignment horizontal="right" textRotation="45" wrapText="1"/>
    </xf>
    <xf numFmtId="0" fontId="15" fillId="0" borderId="0" xfId="0" applyFont="1" applyAlignment="1">
      <alignment horizontal="center" vertical="top" wrapText="1"/>
    </xf>
    <xf numFmtId="0" fontId="15" fillId="0" borderId="1" xfId="0" applyFont="1" applyFill="1" applyBorder="1" applyAlignment="1">
      <alignment horizontal="center" vertical="top" wrapText="1"/>
    </xf>
    <xf numFmtId="0" fontId="17" fillId="0" borderId="1" xfId="1" applyFont="1" applyFill="1" applyBorder="1" applyAlignment="1">
      <alignment horizontal="center" vertical="top" wrapText="1"/>
    </xf>
    <xf numFmtId="0" fontId="20" fillId="0" borderId="0" xfId="0" applyFont="1" applyBorder="1" applyAlignment="1">
      <alignment horizontal="center" vertical="top" wrapText="1"/>
    </xf>
    <xf numFmtId="4" fontId="14" fillId="0" borderId="0" xfId="0" applyNumberFormat="1" applyFont="1" applyAlignment="1">
      <alignment vertical="top"/>
    </xf>
    <xf numFmtId="4" fontId="35" fillId="2" borderId="3" xfId="0" applyNumberFormat="1" applyFont="1" applyFill="1" applyBorder="1" applyAlignment="1">
      <alignment vertical="top" wrapText="1"/>
    </xf>
    <xf numFmtId="4" fontId="14" fillId="0" borderId="1" xfId="0" applyNumberFormat="1" applyFont="1" applyFill="1" applyBorder="1" applyAlignment="1">
      <alignment vertical="top" wrapText="1"/>
    </xf>
    <xf numFmtId="4" fontId="14" fillId="0" borderId="6" xfId="0" applyNumberFormat="1" applyFont="1" applyFill="1" applyBorder="1" applyAlignment="1">
      <alignment vertical="top" wrapText="1"/>
    </xf>
    <xf numFmtId="4" fontId="14" fillId="0" borderId="3" xfId="0" applyNumberFormat="1" applyFont="1" applyFill="1" applyBorder="1" applyAlignment="1">
      <alignment vertical="top"/>
    </xf>
    <xf numFmtId="4" fontId="16" fillId="0" borderId="3" xfId="2" applyNumberFormat="1" applyFont="1" applyFill="1" applyBorder="1" applyAlignment="1">
      <alignment vertical="top"/>
    </xf>
    <xf numFmtId="4" fontId="16" fillId="0" borderId="1" xfId="2" applyNumberFormat="1" applyFont="1" applyFill="1" applyBorder="1" applyAlignment="1">
      <alignment vertical="top"/>
    </xf>
    <xf numFmtId="4" fontId="16" fillId="0" borderId="6" xfId="2" applyNumberFormat="1" applyFont="1" applyFill="1" applyBorder="1" applyAlignment="1">
      <alignment vertical="top"/>
    </xf>
    <xf numFmtId="4" fontId="14" fillId="0" borderId="8" xfId="0" applyNumberFormat="1" applyFont="1" applyFill="1" applyBorder="1" applyAlignment="1">
      <alignment vertical="top"/>
    </xf>
    <xf numFmtId="4" fontId="14" fillId="0" borderId="1" xfId="2" applyNumberFormat="1" applyFont="1" applyFill="1" applyBorder="1" applyAlignment="1">
      <alignment vertical="top"/>
    </xf>
    <xf numFmtId="4" fontId="14" fillId="0" borderId="6" xfId="0" applyNumberFormat="1" applyFont="1" applyFill="1" applyBorder="1" applyAlignment="1">
      <alignment vertical="top"/>
    </xf>
    <xf numFmtId="4" fontId="14" fillId="0" borderId="1" xfId="0" applyNumberFormat="1" applyFont="1" applyBorder="1" applyAlignment="1">
      <alignment vertical="top"/>
    </xf>
    <xf numFmtId="4" fontId="16" fillId="0" borderId="1" xfId="0" applyNumberFormat="1" applyFont="1" applyFill="1" applyBorder="1" applyAlignment="1">
      <alignment vertical="top"/>
    </xf>
    <xf numFmtId="4" fontId="14" fillId="3" borderId="1" xfId="2" applyNumberFormat="1" applyFont="1" applyFill="1" applyBorder="1" applyAlignment="1">
      <alignment vertical="top"/>
    </xf>
    <xf numFmtId="0" fontId="40" fillId="0" borderId="1" xfId="0" applyFont="1" applyFill="1" applyBorder="1" applyAlignment="1">
      <alignment horizontal="center" vertical="top"/>
    </xf>
    <xf numFmtId="0" fontId="40" fillId="0" borderId="0" xfId="0" applyFont="1" applyAlignment="1">
      <alignment horizontal="left" vertical="top" wrapText="1"/>
    </xf>
    <xf numFmtId="42" fontId="41" fillId="2" borderId="3" xfId="0" applyNumberFormat="1" applyFont="1" applyFill="1" applyBorder="1" applyAlignment="1">
      <alignment horizontal="left" wrapText="1"/>
    </xf>
    <xf numFmtId="0" fontId="25" fillId="0" borderId="3" xfId="0" applyFont="1" applyFill="1" applyBorder="1" applyAlignment="1">
      <alignment horizontal="left" vertical="center" wrapText="1"/>
    </xf>
    <xf numFmtId="0" fontId="40" fillId="0" borderId="1" xfId="0" applyFont="1" applyFill="1" applyBorder="1" applyAlignment="1">
      <alignment vertical="top"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top"/>
    </xf>
    <xf numFmtId="0" fontId="25" fillId="0" borderId="6" xfId="0" applyFont="1" applyFill="1" applyBorder="1" applyAlignment="1">
      <alignment horizontal="left" vertical="top" wrapText="1"/>
    </xf>
    <xf numFmtId="0" fontId="40" fillId="0" borderId="8" xfId="0" applyFont="1" applyFill="1" applyBorder="1" applyAlignment="1">
      <alignment vertical="top" wrapText="1"/>
    </xf>
    <xf numFmtId="0" fontId="25" fillId="0" borderId="0" xfId="0" applyFont="1" applyFill="1" applyBorder="1" applyAlignment="1">
      <alignment horizontal="center" vertical="top"/>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5" fillId="0" borderId="1" xfId="0" applyFont="1" applyFill="1" applyBorder="1" applyAlignment="1">
      <alignment horizontal="center" vertical="top" wrapText="1"/>
    </xf>
    <xf numFmtId="0" fontId="25" fillId="0" borderId="1" xfId="0" quotePrefix="1" applyFont="1" applyFill="1" applyBorder="1" applyAlignment="1">
      <alignment horizontal="center" vertical="top"/>
    </xf>
    <xf numFmtId="0" fontId="43" fillId="0" borderId="1" xfId="0" applyFont="1" applyFill="1" applyBorder="1" applyAlignment="1">
      <alignment wrapText="1"/>
    </xf>
    <xf numFmtId="0" fontId="43" fillId="0" borderId="0" xfId="0" applyFont="1" applyBorder="1" applyAlignment="1">
      <alignment wrapText="1"/>
    </xf>
    <xf numFmtId="0" fontId="43" fillId="0" borderId="1" xfId="0" applyFont="1" applyFill="1" applyBorder="1" applyAlignment="1">
      <alignment horizontal="center" vertical="center" wrapText="1"/>
    </xf>
    <xf numFmtId="0" fontId="40" fillId="0" borderId="3" xfId="0" applyFont="1" applyFill="1" applyBorder="1" applyAlignment="1">
      <alignment vertical="top" wrapText="1"/>
    </xf>
    <xf numFmtId="0" fontId="40" fillId="0" borderId="1" xfId="0" applyFont="1" applyFill="1" applyBorder="1" applyAlignment="1">
      <alignment horizontal="left" wrapText="1"/>
    </xf>
    <xf numFmtId="0" fontId="40" fillId="0" borderId="0" xfId="0" applyFont="1" applyFill="1" applyBorder="1" applyAlignment="1">
      <alignment horizontal="left" vertical="top" wrapText="1"/>
    </xf>
    <xf numFmtId="0" fontId="40" fillId="0" borderId="1" xfId="0" applyFont="1" applyFill="1" applyBorder="1" applyAlignment="1">
      <alignment vertical="top"/>
    </xf>
    <xf numFmtId="0" fontId="40" fillId="8" borderId="1" xfId="0" applyFont="1" applyFill="1" applyBorder="1" applyAlignment="1">
      <alignment horizontal="left" vertical="top"/>
    </xf>
    <xf numFmtId="0" fontId="40" fillId="0" borderId="8" xfId="0" applyFont="1" applyFill="1" applyBorder="1" applyAlignment="1">
      <alignment horizontal="left" vertical="top" wrapText="1"/>
    </xf>
    <xf numFmtId="0" fontId="40" fillId="3" borderId="0" xfId="0" applyFont="1" applyFill="1" applyAlignment="1">
      <alignment horizontal="left" vertical="center"/>
    </xf>
    <xf numFmtId="0" fontId="40" fillId="8" borderId="1" xfId="0" applyFont="1" applyFill="1" applyBorder="1" applyAlignment="1">
      <alignment horizontal="left" vertical="top" wrapText="1"/>
    </xf>
    <xf numFmtId="0" fontId="25" fillId="8" borderId="1" xfId="0" applyFont="1" applyFill="1" applyBorder="1" applyAlignment="1">
      <alignment horizontal="left" vertical="top"/>
    </xf>
    <xf numFmtId="0" fontId="25" fillId="8" borderId="6" xfId="0" applyFont="1" applyFill="1" applyBorder="1" applyAlignment="1">
      <alignment horizontal="left" vertical="top"/>
    </xf>
    <xf numFmtId="0" fontId="25" fillId="8" borderId="3" xfId="0" applyFont="1" applyFill="1" applyBorder="1" applyAlignment="1">
      <alignment horizontal="left" vertical="top"/>
    </xf>
    <xf numFmtId="0" fontId="40" fillId="8" borderId="6" xfId="0" applyFont="1" applyFill="1" applyBorder="1" applyAlignment="1">
      <alignment horizontal="left" vertical="top"/>
    </xf>
    <xf numFmtId="0" fontId="40" fillId="8" borderId="3" xfId="0" applyFont="1" applyFill="1" applyBorder="1" applyAlignment="1">
      <alignment horizontal="left" vertical="top" wrapText="1"/>
    </xf>
    <xf numFmtId="0" fontId="25" fillId="8" borderId="1" xfId="1" applyFont="1" applyFill="1" applyBorder="1" applyAlignment="1">
      <alignment horizontal="left" vertical="top"/>
    </xf>
    <xf numFmtId="42" fontId="60" fillId="0" borderId="0" xfId="0" applyNumberFormat="1" applyFont="1" applyAlignment="1">
      <alignment horizontal="left" vertical="center"/>
    </xf>
    <xf numFmtId="0" fontId="61" fillId="0" borderId="0" xfId="0" applyFont="1" applyAlignment="1">
      <alignment horizontal="left" wrapText="1"/>
    </xf>
    <xf numFmtId="0" fontId="62" fillId="4" borderId="2" xfId="0" applyFont="1" applyFill="1" applyBorder="1" applyAlignment="1">
      <alignment horizontal="center" textRotation="45" wrapText="1" shrinkToFit="1"/>
    </xf>
    <xf numFmtId="42" fontId="62" fillId="2" borderId="3" xfId="0" applyNumberFormat="1" applyFont="1" applyFill="1" applyBorder="1" applyAlignment="1">
      <alignment horizontal="left" wrapText="1"/>
    </xf>
    <xf numFmtId="0" fontId="61" fillId="0" borderId="1" xfId="0" applyFont="1" applyFill="1" applyBorder="1" applyAlignment="1">
      <alignment horizontal="left" vertical="top" wrapText="1"/>
    </xf>
    <xf numFmtId="0" fontId="61" fillId="0" borderId="6" xfId="0" applyFont="1" applyFill="1" applyBorder="1" applyAlignment="1">
      <alignment horizontal="left" vertical="top" wrapText="1"/>
    </xf>
    <xf numFmtId="0" fontId="61" fillId="0" borderId="3" xfId="0" applyFont="1" applyFill="1" applyBorder="1" applyAlignment="1">
      <alignment horizontal="left" vertical="top" wrapText="1"/>
    </xf>
    <xf numFmtId="0" fontId="63" fillId="0" borderId="3" xfId="0" applyFont="1" applyFill="1" applyBorder="1" applyAlignment="1">
      <alignment horizontal="left" vertical="top"/>
    </xf>
    <xf numFmtId="0" fontId="61" fillId="0" borderId="1" xfId="0" applyFont="1" applyFill="1" applyBorder="1" applyAlignment="1">
      <alignment vertical="top" wrapText="1"/>
    </xf>
    <xf numFmtId="0" fontId="63" fillId="0" borderId="1" xfId="0" applyFont="1" applyFill="1" applyBorder="1" applyAlignment="1">
      <alignment horizontal="left" vertical="top"/>
    </xf>
    <xf numFmtId="0" fontId="63" fillId="0" borderId="6" xfId="0" applyFont="1" applyFill="1" applyBorder="1" applyAlignment="1">
      <alignment horizontal="left" vertical="top"/>
    </xf>
    <xf numFmtId="0" fontId="61" fillId="0" borderId="8" xfId="0" applyFont="1" applyFill="1" applyBorder="1" applyAlignment="1">
      <alignment horizontal="left" vertical="top" wrapText="1"/>
    </xf>
    <xf numFmtId="0" fontId="61" fillId="0" borderId="1" xfId="0" applyFont="1" applyFill="1" applyBorder="1" applyAlignment="1">
      <alignment horizontal="left" vertical="top"/>
    </xf>
    <xf numFmtId="0" fontId="63" fillId="0" borderId="1" xfId="0" applyFont="1" applyFill="1" applyBorder="1" applyAlignment="1">
      <alignment horizontal="left" vertical="top" wrapText="1"/>
    </xf>
    <xf numFmtId="0" fontId="25" fillId="0" borderId="1" xfId="1" applyFont="1" applyFill="1" applyBorder="1" applyAlignment="1">
      <alignment horizontal="left" vertical="top" wrapText="1"/>
    </xf>
    <xf numFmtId="0" fontId="40" fillId="0" borderId="0" xfId="0" applyFont="1" applyAlignment="1">
      <alignment horizontal="center" vertical="top" wrapText="1"/>
    </xf>
    <xf numFmtId="0" fontId="40" fillId="8" borderId="1" xfId="0" applyFont="1" applyFill="1" applyBorder="1" applyAlignment="1">
      <alignment horizontal="center" vertical="top" wrapText="1"/>
    </xf>
    <xf numFmtId="0" fontId="40" fillId="8" borderId="6" xfId="0" applyFont="1" applyFill="1" applyBorder="1" applyAlignment="1">
      <alignment horizontal="center" vertical="top" wrapText="1"/>
    </xf>
    <xf numFmtId="0" fontId="40" fillId="8" borderId="3" xfId="0" applyFont="1" applyFill="1" applyBorder="1" applyAlignment="1">
      <alignment horizontal="center" vertical="top" wrapText="1"/>
    </xf>
    <xf numFmtId="0" fontId="25" fillId="8" borderId="3" xfId="0" applyFont="1" applyFill="1" applyBorder="1" applyAlignment="1">
      <alignment horizontal="center" vertical="top" wrapText="1"/>
    </xf>
    <xf numFmtId="0" fontId="25" fillId="8" borderId="1" xfId="0" applyFont="1" applyFill="1" applyBorder="1" applyAlignment="1">
      <alignment horizontal="center" vertical="top" wrapText="1"/>
    </xf>
    <xf numFmtId="0" fontId="40" fillId="8" borderId="1" xfId="0" applyFont="1" applyFill="1" applyBorder="1" applyAlignment="1">
      <alignment horizontal="center" vertical="top" wrapText="1" shrinkToFit="1"/>
    </xf>
    <xf numFmtId="0" fontId="40" fillId="8" borderId="1" xfId="0" applyFont="1" applyFill="1" applyBorder="1" applyAlignment="1">
      <alignment horizontal="center" vertical="top"/>
    </xf>
    <xf numFmtId="0" fontId="42" fillId="0" borderId="1" xfId="0" applyFont="1" applyFill="1" applyBorder="1" applyAlignment="1">
      <alignment horizontal="left" vertical="top"/>
    </xf>
    <xf numFmtId="0" fontId="28" fillId="0" borderId="1" xfId="0" applyFont="1" applyFill="1" applyBorder="1" applyAlignment="1">
      <alignment horizontal="left" vertical="top"/>
    </xf>
    <xf numFmtId="8" fontId="32" fillId="7" borderId="0" xfId="0" applyNumberFormat="1" applyFont="1" applyFill="1" applyBorder="1"/>
    <xf numFmtId="0" fontId="15" fillId="3" borderId="3" xfId="0" applyFont="1" applyFill="1" applyBorder="1" applyAlignment="1">
      <alignment horizontal="left" vertical="top" wrapText="1"/>
    </xf>
    <xf numFmtId="166" fontId="15" fillId="0" borderId="3" xfId="0" applyNumberFormat="1" applyFont="1" applyFill="1" applyBorder="1" applyAlignment="1">
      <alignment horizontal="right" vertical="top"/>
    </xf>
    <xf numFmtId="0" fontId="17" fillId="0" borderId="2" xfId="0" applyFont="1" applyFill="1" applyBorder="1" applyAlignment="1">
      <alignment horizontal="left" vertical="top" wrapText="1"/>
    </xf>
    <xf numFmtId="0" fontId="17" fillId="0" borderId="2" xfId="0" applyFont="1" applyFill="1" applyBorder="1" applyAlignment="1">
      <alignment horizontal="left" vertical="top"/>
    </xf>
    <xf numFmtId="166" fontId="17" fillId="0" borderId="2" xfId="0" applyNumberFormat="1" applyFont="1" applyFill="1" applyBorder="1" applyAlignment="1">
      <alignment horizontal="center" vertical="top"/>
    </xf>
    <xf numFmtId="14" fontId="17" fillId="0" borderId="2" xfId="0" applyNumberFormat="1" applyFont="1" applyFill="1" applyBorder="1" applyAlignment="1">
      <alignment horizontal="right" vertical="top"/>
    </xf>
    <xf numFmtId="14" fontId="16" fillId="0" borderId="2" xfId="0" applyNumberFormat="1" applyFont="1" applyFill="1" applyBorder="1" applyAlignment="1">
      <alignment horizontal="right" vertical="top"/>
    </xf>
    <xf numFmtId="44" fontId="16" fillId="0" borderId="2" xfId="2" applyFont="1" applyFill="1" applyBorder="1" applyAlignment="1">
      <alignment horizontal="center" vertical="top"/>
    </xf>
    <xf numFmtId="0" fontId="17" fillId="0" borderId="2" xfId="0" applyFont="1" applyFill="1" applyBorder="1" applyAlignment="1">
      <alignment vertical="top"/>
    </xf>
    <xf numFmtId="0" fontId="15" fillId="3" borderId="2" xfId="0" applyFont="1" applyFill="1" applyBorder="1" applyAlignment="1">
      <alignment vertical="top"/>
    </xf>
    <xf numFmtId="0" fontId="15" fillId="3" borderId="2" xfId="0" applyFont="1" applyFill="1" applyBorder="1" applyAlignment="1">
      <alignment vertical="top" wrapText="1"/>
    </xf>
    <xf numFmtId="166" fontId="15" fillId="3" borderId="2" xfId="0" applyNumberFormat="1" applyFont="1" applyFill="1" applyBorder="1" applyAlignment="1">
      <alignment vertical="top"/>
    </xf>
    <xf numFmtId="49" fontId="15" fillId="3" borderId="2" xfId="0" applyNumberFormat="1" applyFont="1" applyFill="1" applyBorder="1" applyAlignment="1">
      <alignment vertical="top"/>
    </xf>
    <xf numFmtId="49" fontId="14" fillId="3" borderId="2" xfId="0" applyNumberFormat="1" applyFont="1" applyFill="1" applyBorder="1" applyAlignment="1">
      <alignment vertical="top"/>
    </xf>
    <xf numFmtId="42" fontId="14" fillId="3" borderId="2" xfId="0" applyNumberFormat="1" applyFont="1" applyFill="1" applyBorder="1" applyAlignment="1">
      <alignment vertical="top"/>
    </xf>
    <xf numFmtId="0" fontId="17" fillId="3" borderId="2" xfId="0" applyFont="1" applyFill="1" applyBorder="1" applyAlignment="1">
      <alignment vertical="top"/>
    </xf>
    <xf numFmtId="165" fontId="15" fillId="9" borderId="1" xfId="0" applyNumberFormat="1" applyFont="1" applyFill="1" applyBorder="1" applyAlignment="1">
      <alignment vertical="top" wrapText="1"/>
    </xf>
    <xf numFmtId="165" fontId="40" fillId="0" borderId="1" xfId="0" applyNumberFormat="1" applyFont="1" applyFill="1" applyBorder="1" applyAlignment="1">
      <alignment vertical="top" wrapText="1"/>
    </xf>
    <xf numFmtId="0" fontId="40" fillId="3" borderId="1" xfId="0" applyFont="1" applyFill="1" applyBorder="1" applyAlignment="1">
      <alignment vertical="top"/>
    </xf>
    <xf numFmtId="166" fontId="25" fillId="0" borderId="1" xfId="0" applyNumberFormat="1" applyFont="1" applyFill="1" applyBorder="1" applyAlignment="1">
      <alignment horizontal="center" vertical="top"/>
    </xf>
    <xf numFmtId="14" fontId="25" fillId="0" borderId="1" xfId="0" applyNumberFormat="1" applyFont="1" applyFill="1" applyBorder="1" applyAlignment="1">
      <alignment horizontal="right" vertical="top"/>
    </xf>
    <xf numFmtId="14" fontId="60" fillId="0" borderId="1" xfId="0" applyNumberFormat="1" applyFont="1" applyFill="1" applyBorder="1" applyAlignment="1">
      <alignment horizontal="right" vertical="top"/>
    </xf>
    <xf numFmtId="4" fontId="60" fillId="0" borderId="1" xfId="2" applyNumberFormat="1" applyFont="1" applyFill="1" applyBorder="1" applyAlignment="1">
      <alignment vertical="top"/>
    </xf>
    <xf numFmtId="166" fontId="40" fillId="0" borderId="1" xfId="0" applyNumberFormat="1" applyFont="1" applyFill="1" applyBorder="1" applyAlignment="1">
      <alignment horizontal="center" vertical="top"/>
    </xf>
    <xf numFmtId="49" fontId="40" fillId="0" borderId="1" xfId="0" applyNumberFormat="1" applyFont="1" applyFill="1" applyBorder="1" applyAlignment="1">
      <alignment horizontal="right" vertical="top"/>
    </xf>
    <xf numFmtId="49" fontId="60" fillId="0" borderId="1" xfId="0" applyNumberFormat="1" applyFont="1" applyFill="1" applyBorder="1" applyAlignment="1">
      <alignment horizontal="right" vertical="top"/>
    </xf>
    <xf numFmtId="42" fontId="41" fillId="0" borderId="1" xfId="0" applyNumberFormat="1" applyFont="1" applyFill="1" applyBorder="1" applyAlignment="1">
      <alignment vertical="top"/>
    </xf>
    <xf numFmtId="165" fontId="25" fillId="0" borderId="1" xfId="0" applyNumberFormat="1" applyFont="1" applyFill="1" applyBorder="1" applyAlignment="1">
      <alignment horizontal="left" vertical="top"/>
    </xf>
    <xf numFmtId="49" fontId="25" fillId="0" borderId="1" xfId="0" applyNumberFormat="1" applyFont="1" applyFill="1" applyBorder="1" applyAlignment="1">
      <alignment horizontal="right" vertical="top"/>
    </xf>
    <xf numFmtId="4" fontId="60" fillId="0" borderId="1" xfId="0" applyNumberFormat="1" applyFont="1" applyFill="1" applyBorder="1" applyAlignment="1">
      <alignment vertical="top"/>
    </xf>
    <xf numFmtId="4" fontId="41" fillId="0" borderId="1" xfId="0" applyNumberFormat="1" applyFont="1" applyFill="1" applyBorder="1" applyAlignment="1">
      <alignment vertical="top"/>
    </xf>
    <xf numFmtId="0" fontId="17" fillId="9" borderId="1" xfId="0" applyFont="1" applyFill="1" applyBorder="1" applyAlignment="1">
      <alignment horizontal="left" vertical="top"/>
    </xf>
    <xf numFmtId="0" fontId="25" fillId="9" borderId="1" xfId="0" applyFont="1" applyFill="1" applyBorder="1" applyAlignment="1">
      <alignment horizontal="left" vertical="top"/>
    </xf>
    <xf numFmtId="165" fontId="40" fillId="9" borderId="1" xfId="0" applyNumberFormat="1" applyFont="1" applyFill="1" applyBorder="1" applyAlignment="1">
      <alignment horizontal="left" vertical="top" wrapText="1"/>
    </xf>
    <xf numFmtId="165" fontId="17" fillId="9" borderId="1" xfId="0" applyNumberFormat="1" applyFont="1" applyFill="1" applyBorder="1" applyAlignment="1">
      <alignment horizontal="left" vertical="top" wrapText="1"/>
    </xf>
    <xf numFmtId="165" fontId="25" fillId="9" borderId="1" xfId="0" applyNumberFormat="1" applyFont="1" applyFill="1" applyBorder="1" applyAlignment="1">
      <alignment horizontal="left" vertical="top" wrapText="1"/>
    </xf>
    <xf numFmtId="0" fontId="40" fillId="9" borderId="1" xfId="0" applyFont="1" applyFill="1" applyBorder="1" applyAlignment="1">
      <alignment vertical="top"/>
    </xf>
    <xf numFmtId="0" fontId="15" fillId="9" borderId="1" xfId="0" applyFont="1" applyFill="1" applyBorder="1" applyAlignment="1">
      <alignment vertical="top"/>
    </xf>
    <xf numFmtId="0" fontId="9" fillId="0" borderId="0" xfId="0" applyFont="1" applyFill="1" applyAlignment="1">
      <alignment horizontal="left" vertical="top" wrapText="1"/>
    </xf>
    <xf numFmtId="0" fontId="17" fillId="0" borderId="0" xfId="0" applyFont="1" applyFill="1" applyAlignment="1">
      <alignment horizontal="left" vertical="top" wrapText="1"/>
    </xf>
    <xf numFmtId="44" fontId="15" fillId="0" borderId="3" xfId="2" applyFont="1" applyFill="1" applyBorder="1" applyAlignment="1">
      <alignment vertical="top"/>
    </xf>
    <xf numFmtId="0" fontId="61" fillId="3" borderId="1" xfId="0" applyFont="1" applyFill="1" applyBorder="1" applyAlignment="1">
      <alignment horizontal="left" wrapText="1"/>
    </xf>
    <xf numFmtId="0" fontId="40" fillId="8" borderId="1" xfId="0" applyFont="1" applyFill="1" applyBorder="1" applyAlignment="1">
      <alignment horizontal="left" vertical="center"/>
    </xf>
    <xf numFmtId="0" fontId="62" fillId="4" borderId="23" xfId="0" applyFont="1" applyFill="1" applyBorder="1" applyAlignment="1">
      <alignment horizontal="center" textRotation="45" wrapText="1"/>
    </xf>
    <xf numFmtId="0" fontId="26" fillId="9" borderId="1" xfId="0" applyFont="1" applyFill="1" applyBorder="1" applyAlignment="1">
      <alignment horizontal="left" vertical="top"/>
    </xf>
    <xf numFmtId="165" fontId="15" fillId="9" borderId="1" xfId="0" applyNumberFormat="1" applyFont="1" applyFill="1" applyBorder="1" applyAlignment="1">
      <alignment horizontal="justify" vertical="top"/>
    </xf>
    <xf numFmtId="0" fontId="17" fillId="9"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24" xfId="0" applyFont="1" applyFill="1" applyBorder="1" applyAlignment="1">
      <alignment horizontal="left" vertical="top"/>
    </xf>
    <xf numFmtId="0" fontId="15" fillId="0" borderId="24" xfId="0" applyFont="1" applyFill="1" applyBorder="1" applyAlignment="1">
      <alignment horizontal="left" vertical="top" wrapText="1"/>
    </xf>
    <xf numFmtId="166" fontId="15" fillId="0" borderId="24" xfId="0" applyNumberFormat="1" applyFont="1" applyFill="1" applyBorder="1" applyAlignment="1">
      <alignment horizontal="center" vertical="top"/>
    </xf>
    <xf numFmtId="49" fontId="15" fillId="0" borderId="24" xfId="0" applyNumberFormat="1" applyFont="1" applyFill="1" applyBorder="1" applyAlignment="1">
      <alignment horizontal="right" vertical="top"/>
    </xf>
    <xf numFmtId="49" fontId="14" fillId="0" borderId="24" xfId="0" applyNumberFormat="1" applyFont="1" applyFill="1" applyBorder="1" applyAlignment="1">
      <alignment horizontal="right" vertical="top"/>
    </xf>
    <xf numFmtId="42" fontId="14" fillId="0" borderId="24" xfId="0" applyNumberFormat="1" applyFont="1" applyFill="1" applyBorder="1" applyAlignment="1">
      <alignment horizontal="left" vertical="top"/>
    </xf>
    <xf numFmtId="0" fontId="15" fillId="0" borderId="2" xfId="0" applyFont="1" applyFill="1" applyBorder="1" applyAlignment="1">
      <alignment horizontal="left" vertical="top"/>
    </xf>
    <xf numFmtId="42" fontId="14" fillId="0" borderId="2" xfId="0" applyNumberFormat="1" applyFont="1" applyFill="1" applyBorder="1" applyAlignment="1">
      <alignment horizontal="left" vertical="top"/>
    </xf>
    <xf numFmtId="0" fontId="15" fillId="9" borderId="1" xfId="0" applyFont="1" applyFill="1" applyBorder="1" applyAlignment="1">
      <alignment horizontal="left" vertical="top"/>
    </xf>
    <xf numFmtId="0" fontId="40" fillId="0" borderId="6"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3" xfId="0" applyFont="1" applyFill="1" applyBorder="1" applyAlignment="1">
      <alignment horizontal="left" vertical="top" wrapText="1"/>
    </xf>
    <xf numFmtId="0" fontId="26" fillId="0" borderId="0" xfId="0" applyFont="1" applyFill="1" applyAlignment="1">
      <alignment horizontal="left" vertical="top"/>
    </xf>
    <xf numFmtId="0" fontId="26" fillId="3"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1" xfId="0" applyFont="1" applyFill="1" applyBorder="1" applyAlignment="1">
      <alignment horizontal="left" vertical="top"/>
    </xf>
    <xf numFmtId="166" fontId="26" fillId="0" borderId="1" xfId="0" applyNumberFormat="1" applyFont="1" applyFill="1" applyBorder="1" applyAlignment="1">
      <alignment horizontal="center" vertical="top"/>
    </xf>
    <xf numFmtId="14" fontId="26" fillId="0" borderId="1" xfId="0" applyNumberFormat="1" applyFont="1" applyFill="1" applyBorder="1" applyAlignment="1">
      <alignment horizontal="right" vertical="top"/>
    </xf>
    <xf numFmtId="14" fontId="18" fillId="0" borderId="1" xfId="0" applyNumberFormat="1" applyFont="1" applyFill="1" applyBorder="1" applyAlignment="1">
      <alignment horizontal="right" vertical="top"/>
    </xf>
    <xf numFmtId="44" fontId="18" fillId="0" borderId="1" xfId="2" applyFont="1" applyFill="1" applyBorder="1" applyAlignment="1">
      <alignment horizontal="left" vertical="top"/>
    </xf>
    <xf numFmtId="44" fontId="26" fillId="0" borderId="1" xfId="2" applyFont="1" applyFill="1" applyBorder="1" applyAlignment="1">
      <alignment horizontal="left" vertical="top"/>
    </xf>
    <xf numFmtId="44" fontId="26" fillId="0" borderId="0" xfId="2" applyFont="1" applyFill="1" applyAlignment="1">
      <alignment horizontal="left" vertical="top"/>
    </xf>
    <xf numFmtId="44" fontId="26" fillId="0" borderId="0" xfId="2" applyFont="1" applyFill="1" applyAlignment="1">
      <alignment horizontal="left" vertical="top" wrapText="1"/>
    </xf>
    <xf numFmtId="0" fontId="64" fillId="0" borderId="0" xfId="0" applyFont="1" applyFill="1" applyAlignment="1">
      <alignment horizontal="left" vertical="top"/>
    </xf>
    <xf numFmtId="0" fontId="26" fillId="3" borderId="1" xfId="0" applyFont="1" applyFill="1" applyBorder="1" applyAlignment="1">
      <alignment vertical="top"/>
    </xf>
    <xf numFmtId="0" fontId="65" fillId="8" borderId="1" xfId="0" applyFont="1" applyFill="1" applyBorder="1" applyAlignment="1">
      <alignment horizontal="center" vertical="top" wrapText="1"/>
    </xf>
    <xf numFmtId="4" fontId="18" fillId="0" borderId="1" xfId="2" applyNumberFormat="1" applyFont="1" applyFill="1" applyBorder="1" applyAlignment="1">
      <alignment vertical="top"/>
    </xf>
    <xf numFmtId="0" fontId="65" fillId="0" borderId="1" xfId="0" applyFont="1" applyFill="1" applyBorder="1" applyAlignment="1">
      <alignment horizontal="left" vertical="top"/>
    </xf>
    <xf numFmtId="0" fontId="65" fillId="8" borderId="1" xfId="0" applyFont="1" applyFill="1" applyBorder="1" applyAlignment="1">
      <alignment horizontal="left" vertical="top"/>
    </xf>
    <xf numFmtId="0" fontId="66" fillId="0" borderId="1" xfId="0" applyFont="1" applyFill="1" applyBorder="1" applyAlignment="1">
      <alignment horizontal="left" vertical="top"/>
    </xf>
    <xf numFmtId="0" fontId="65" fillId="0" borderId="1" xfId="0" applyFont="1" applyFill="1" applyBorder="1" applyAlignment="1">
      <alignment horizontal="left" vertical="top" wrapText="1"/>
    </xf>
    <xf numFmtId="4" fontId="67" fillId="0" borderId="0" xfId="0" applyNumberFormat="1" applyFont="1" applyFill="1" applyAlignment="1">
      <alignment horizontal="center" vertical="top"/>
    </xf>
    <xf numFmtId="0" fontId="68" fillId="0" borderId="0" xfId="0" applyFont="1" applyFill="1" applyBorder="1" applyAlignment="1">
      <alignment horizontal="left" vertical="top"/>
    </xf>
    <xf numFmtId="49" fontId="26" fillId="0" borderId="1" xfId="0" applyNumberFormat="1" applyFont="1" applyFill="1" applyBorder="1" applyAlignment="1">
      <alignment horizontal="right" vertical="top"/>
    </xf>
    <xf numFmtId="42" fontId="18" fillId="0" borderId="1" xfId="0" applyNumberFormat="1" applyFont="1" applyFill="1" applyBorder="1" applyAlignment="1">
      <alignment horizontal="left" vertical="top"/>
    </xf>
    <xf numFmtId="0" fontId="26" fillId="0" borderId="1" xfId="0" applyFont="1" applyFill="1" applyBorder="1" applyAlignment="1">
      <alignment vertical="top" wrapText="1"/>
    </xf>
    <xf numFmtId="44" fontId="68" fillId="0" borderId="0" xfId="2" applyFont="1" applyFill="1" applyAlignment="1">
      <alignment horizontal="left" vertical="top"/>
    </xf>
    <xf numFmtId="0" fontId="68" fillId="0" borderId="0" xfId="0" applyFont="1" applyFill="1" applyAlignment="1">
      <alignment horizontal="left" vertical="top"/>
    </xf>
    <xf numFmtId="0" fontId="26" fillId="0" borderId="0" xfId="0" applyFont="1" applyFill="1" applyBorder="1" applyAlignment="1">
      <alignment vertical="top"/>
    </xf>
    <xf numFmtId="0" fontId="18" fillId="0" borderId="3" xfId="0" applyFont="1" applyFill="1" applyBorder="1" applyAlignment="1">
      <alignment vertical="top"/>
    </xf>
    <xf numFmtId="0" fontId="26" fillId="0" borderId="3" xfId="0" applyFont="1" applyFill="1" applyBorder="1" applyAlignment="1">
      <alignment vertical="top" wrapText="1"/>
    </xf>
    <xf numFmtId="0" fontId="26" fillId="0" borderId="3" xfId="0" applyNumberFormat="1" applyFont="1" applyFill="1" applyBorder="1" applyAlignment="1">
      <alignment horizontal="left" vertical="top"/>
    </xf>
    <xf numFmtId="166" fontId="26" fillId="0" borderId="3" xfId="0" applyNumberFormat="1" applyFont="1" applyFill="1" applyBorder="1" applyAlignment="1">
      <alignment horizontal="center" vertical="top"/>
    </xf>
    <xf numFmtId="49" fontId="26" fillId="0" borderId="3" xfId="0" applyNumberFormat="1" applyFont="1" applyFill="1" applyBorder="1" applyAlignment="1">
      <alignment horizontal="right" vertical="top"/>
    </xf>
    <xf numFmtId="49" fontId="18" fillId="0" borderId="3" xfId="0" applyNumberFormat="1" applyFont="1" applyFill="1" applyBorder="1" applyAlignment="1">
      <alignment horizontal="right" vertical="top"/>
    </xf>
    <xf numFmtId="3" fontId="18" fillId="0" borderId="3" xfId="0" applyNumberFormat="1" applyFont="1" applyFill="1" applyBorder="1" applyAlignment="1">
      <alignment vertical="top"/>
    </xf>
    <xf numFmtId="44" fontId="26" fillId="0" borderId="1" xfId="2" applyFont="1" applyFill="1" applyBorder="1" applyAlignment="1">
      <alignment vertical="top"/>
    </xf>
    <xf numFmtId="44" fontId="26" fillId="0" borderId="0" xfId="2" applyFont="1" applyFill="1" applyBorder="1" applyAlignment="1">
      <alignment vertical="top"/>
    </xf>
    <xf numFmtId="0" fontId="64" fillId="0" borderId="0" xfId="0" applyFont="1" applyFill="1" applyAlignment="1">
      <alignment vertical="top"/>
    </xf>
    <xf numFmtId="165" fontId="26" fillId="9" borderId="3" xfId="0" applyNumberFormat="1" applyFont="1" applyFill="1" applyBorder="1" applyAlignment="1">
      <alignment horizontal="left" vertical="top"/>
    </xf>
    <xf numFmtId="0" fontId="14" fillId="0" borderId="3" xfId="0" applyFont="1" applyFill="1" applyBorder="1" applyAlignment="1">
      <alignment horizontal="left" vertical="top"/>
    </xf>
    <xf numFmtId="0" fontId="26" fillId="0" borderId="0" xfId="0" applyFont="1" applyFill="1" applyAlignment="1">
      <alignment vertical="top"/>
    </xf>
    <xf numFmtId="0" fontId="18" fillId="0" borderId="6" xfId="0" applyFont="1" applyFill="1" applyBorder="1" applyAlignment="1">
      <alignment vertical="top"/>
    </xf>
    <xf numFmtId="0" fontId="26" fillId="0" borderId="6" xfId="0" applyFont="1" applyFill="1" applyBorder="1" applyAlignment="1">
      <alignment vertical="top" wrapText="1"/>
    </xf>
    <xf numFmtId="165" fontId="26" fillId="0" borderId="6" xfId="0" applyNumberFormat="1" applyFont="1" applyFill="1" applyBorder="1" applyAlignment="1">
      <alignment vertical="top"/>
    </xf>
    <xf numFmtId="165" fontId="26" fillId="0" borderId="6" xfId="0" applyNumberFormat="1" applyFont="1" applyFill="1" applyBorder="1" applyAlignment="1">
      <alignment vertical="top" wrapText="1"/>
    </xf>
    <xf numFmtId="166" fontId="26" fillId="0" borderId="6" xfId="0" applyNumberFormat="1" applyFont="1" applyFill="1" applyBorder="1" applyAlignment="1">
      <alignment horizontal="center" vertical="top"/>
    </xf>
    <xf numFmtId="49" fontId="26" fillId="0" borderId="6" xfId="0" applyNumberFormat="1" applyFont="1" applyFill="1" applyBorder="1" applyAlignment="1">
      <alignment horizontal="right" vertical="top"/>
    </xf>
    <xf numFmtId="49" fontId="18" fillId="0" borderId="6" xfId="0" applyNumberFormat="1" applyFont="1" applyFill="1" applyBorder="1" applyAlignment="1">
      <alignment horizontal="right" vertical="top"/>
    </xf>
    <xf numFmtId="42" fontId="18" fillId="0" borderId="6" xfId="0" applyNumberFormat="1" applyFont="1" applyFill="1" applyBorder="1" applyAlignment="1">
      <alignment vertical="top"/>
    </xf>
    <xf numFmtId="0" fontId="64" fillId="0" borderId="0" xfId="0" applyFont="1" applyFill="1" applyBorder="1" applyAlignment="1">
      <alignment vertical="top"/>
    </xf>
    <xf numFmtId="0" fontId="17" fillId="3" borderId="3" xfId="0" applyFont="1" applyFill="1" applyBorder="1" applyAlignment="1">
      <alignment vertical="top" wrapText="1"/>
    </xf>
    <xf numFmtId="0" fontId="26" fillId="0" borderId="3" xfId="0" applyFont="1" applyFill="1" applyBorder="1" applyAlignment="1">
      <alignment horizontal="left" vertical="top"/>
    </xf>
    <xf numFmtId="0" fontId="26" fillId="0" borderId="3" xfId="0" applyFont="1" applyFill="1" applyBorder="1" applyAlignment="1">
      <alignment horizontal="left" vertical="top" wrapText="1"/>
    </xf>
    <xf numFmtId="42" fontId="18" fillId="0" borderId="3" xfId="0" applyNumberFormat="1" applyFont="1" applyFill="1" applyBorder="1" applyAlignment="1">
      <alignment horizontal="left" vertical="top"/>
    </xf>
    <xf numFmtId="44" fontId="26" fillId="0" borderId="0" xfId="2" applyFont="1" applyFill="1" applyBorder="1" applyAlignment="1">
      <alignment horizontal="left" vertical="top"/>
    </xf>
    <xf numFmtId="0" fontId="26" fillId="9" borderId="3" xfId="0" applyFont="1" applyFill="1" applyBorder="1" applyAlignment="1">
      <alignment horizontal="left" vertical="top"/>
    </xf>
    <xf numFmtId="44" fontId="15" fillId="3" borderId="3" xfId="2" applyFont="1" applyFill="1" applyBorder="1" applyAlignment="1">
      <alignment vertical="top"/>
    </xf>
    <xf numFmtId="0" fontId="17" fillId="3" borderId="1" xfId="0" applyFont="1" applyFill="1" applyBorder="1" applyAlignment="1">
      <alignment vertical="top" wrapText="1"/>
    </xf>
    <xf numFmtId="166" fontId="17" fillId="0" borderId="1" xfId="0" applyNumberFormat="1" applyFont="1" applyFill="1" applyBorder="1" applyAlignment="1">
      <alignment horizontal="right" vertical="top"/>
    </xf>
    <xf numFmtId="42" fontId="16" fillId="0" borderId="1" xfId="0" applyNumberFormat="1" applyFont="1" applyFill="1" applyBorder="1" applyAlignment="1">
      <alignment vertical="top"/>
    </xf>
    <xf numFmtId="0" fontId="25" fillId="0" borderId="1" xfId="0" applyFont="1" applyFill="1" applyBorder="1" applyAlignment="1">
      <alignment vertical="top" wrapText="1"/>
    </xf>
    <xf numFmtId="0" fontId="63" fillId="0" borderId="1" xfId="0" applyFont="1" applyFill="1" applyBorder="1" applyAlignment="1">
      <alignment vertical="top" wrapText="1"/>
    </xf>
    <xf numFmtId="44" fontId="15" fillId="0" borderId="25" xfId="2" applyFont="1" applyFill="1" applyBorder="1" applyAlignment="1">
      <alignment vertical="top"/>
    </xf>
    <xf numFmtId="44" fontId="15" fillId="3" borderId="4" xfId="2" applyFont="1" applyFill="1" applyBorder="1" applyAlignment="1">
      <alignment vertical="top"/>
    </xf>
    <xf numFmtId="44" fontId="15" fillId="3" borderId="26" xfId="2" applyFont="1" applyFill="1" applyBorder="1" applyAlignment="1">
      <alignment vertical="top"/>
    </xf>
    <xf numFmtId="0" fontId="40" fillId="4" borderId="1" xfId="0" applyFont="1" applyFill="1" applyBorder="1" applyAlignment="1">
      <alignment horizontal="left"/>
    </xf>
    <xf numFmtId="0" fontId="40" fillId="4" borderId="1" xfId="0" applyFont="1" applyFill="1" applyBorder="1" applyAlignment="1">
      <alignment horizontal="left" wrapText="1"/>
    </xf>
    <xf numFmtId="0" fontId="15" fillId="4" borderId="1" xfId="0" applyFont="1" applyFill="1" applyBorder="1" applyAlignment="1">
      <alignment horizontal="left" vertical="top" wrapText="1"/>
    </xf>
    <xf numFmtId="0" fontId="40" fillId="4" borderId="1" xfId="0" applyFont="1" applyFill="1" applyBorder="1" applyAlignment="1">
      <alignment horizontal="center" vertical="top" wrapText="1"/>
    </xf>
    <xf numFmtId="165" fontId="15" fillId="4" borderId="1" xfId="0" applyNumberFormat="1" applyFont="1" applyFill="1" applyBorder="1" applyAlignment="1">
      <alignment horizontal="left" vertical="top"/>
    </xf>
    <xf numFmtId="165" fontId="40" fillId="4" borderId="1" xfId="0" applyNumberFormat="1" applyFont="1" applyFill="1" applyBorder="1" applyAlignment="1">
      <alignment horizontal="left" vertical="top"/>
    </xf>
    <xf numFmtId="166" fontId="15" fillId="4" borderId="1" xfId="0" applyNumberFormat="1" applyFont="1" applyFill="1" applyBorder="1" applyAlignment="1">
      <alignment horizontal="center"/>
    </xf>
    <xf numFmtId="49" fontId="15" fillId="4" borderId="1" xfId="0" applyNumberFormat="1" applyFont="1" applyFill="1" applyBorder="1" applyAlignment="1">
      <alignment horizontal="right"/>
    </xf>
    <xf numFmtId="49" fontId="14" fillId="4" borderId="1" xfId="0" applyNumberFormat="1" applyFont="1" applyFill="1" applyBorder="1" applyAlignment="1">
      <alignment horizontal="right"/>
    </xf>
    <xf numFmtId="4" fontId="14" fillId="4" borderId="1" xfId="0" applyNumberFormat="1" applyFont="1" applyFill="1" applyBorder="1" applyAlignment="1">
      <alignment vertical="top"/>
    </xf>
    <xf numFmtId="0" fontId="40" fillId="4" borderId="1" xfId="0" applyFont="1" applyFill="1" applyBorder="1" applyAlignment="1">
      <alignment horizontal="left" vertical="center"/>
    </xf>
    <xf numFmtId="0" fontId="61" fillId="4" borderId="1" xfId="0" applyFont="1" applyFill="1" applyBorder="1" applyAlignment="1">
      <alignment horizontal="left" wrapText="1"/>
    </xf>
    <xf numFmtId="0" fontId="40" fillId="4" borderId="1" xfId="0" applyFont="1" applyFill="1" applyBorder="1" applyAlignment="1">
      <alignment horizontal="left" vertical="top" wrapText="1"/>
    </xf>
    <xf numFmtId="0" fontId="40" fillId="4" borderId="1" xfId="0" applyFont="1" applyFill="1" applyBorder="1" applyAlignment="1">
      <alignment horizontal="left" vertical="top"/>
    </xf>
    <xf numFmtId="0" fontId="26" fillId="0" borderId="1" xfId="0" applyFont="1" applyFill="1" applyBorder="1" applyAlignment="1">
      <alignment vertical="top"/>
    </xf>
    <xf numFmtId="166" fontId="26" fillId="0" borderId="1" xfId="0" applyNumberFormat="1" applyFont="1" applyFill="1" applyBorder="1" applyAlignment="1">
      <alignment horizontal="right" vertical="top"/>
    </xf>
    <xf numFmtId="42" fontId="18" fillId="0" borderId="1" xfId="0" applyNumberFormat="1" applyFont="1" applyFill="1" applyBorder="1" applyAlignment="1">
      <alignment vertical="top"/>
    </xf>
    <xf numFmtId="0" fontId="65" fillId="3" borderId="1" xfId="0" applyFont="1" applyFill="1" applyBorder="1" applyAlignment="1">
      <alignment horizontal="left" vertical="top"/>
    </xf>
    <xf numFmtId="44" fontId="26" fillId="3" borderId="4" xfId="2" applyFont="1" applyFill="1" applyBorder="1" applyAlignment="1">
      <alignment vertical="top"/>
    </xf>
    <xf numFmtId="44" fontId="26" fillId="3" borderId="1" xfId="2" applyFont="1" applyFill="1" applyBorder="1" applyAlignment="1">
      <alignment vertical="top"/>
    </xf>
    <xf numFmtId="4" fontId="69" fillId="0" borderId="0" xfId="0" applyNumberFormat="1" applyFont="1" applyFill="1" applyAlignment="1">
      <alignment horizontal="center" vertical="center"/>
    </xf>
    <xf numFmtId="0" fontId="26" fillId="9" borderId="1" xfId="0" applyFont="1" applyFill="1" applyBorder="1" applyAlignment="1">
      <alignment vertical="top" wrapText="1"/>
    </xf>
    <xf numFmtId="0" fontId="71" fillId="4" borderId="1" xfId="0" applyFont="1" applyFill="1" applyBorder="1" applyAlignment="1">
      <alignment vertical="top"/>
    </xf>
    <xf numFmtId="0" fontId="70" fillId="4" borderId="1" xfId="0" applyFont="1" applyFill="1" applyBorder="1" applyAlignment="1">
      <alignment horizontal="left"/>
    </xf>
    <xf numFmtId="0" fontId="70" fillId="4" borderId="1" xfId="0" applyFont="1" applyFill="1" applyBorder="1" applyAlignment="1">
      <alignment horizontal="left" wrapText="1"/>
    </xf>
    <xf numFmtId="0" fontId="71" fillId="4" borderId="1" xfId="0" applyFont="1" applyFill="1" applyBorder="1" applyAlignment="1">
      <alignment horizontal="left" vertical="top" wrapText="1"/>
    </xf>
    <xf numFmtId="0" fontId="70" fillId="4" borderId="1" xfId="0" applyFont="1" applyFill="1" applyBorder="1" applyAlignment="1">
      <alignment horizontal="center" vertical="top" wrapText="1"/>
    </xf>
    <xf numFmtId="165" fontId="71" fillId="4" borderId="1" xfId="0" applyNumberFormat="1" applyFont="1" applyFill="1" applyBorder="1" applyAlignment="1">
      <alignment horizontal="left" vertical="top"/>
    </xf>
    <xf numFmtId="165" fontId="70" fillId="4" borderId="1" xfId="0" applyNumberFormat="1" applyFont="1" applyFill="1" applyBorder="1" applyAlignment="1">
      <alignment horizontal="left" vertical="top"/>
    </xf>
    <xf numFmtId="166" fontId="71" fillId="4" borderId="1" xfId="0" applyNumberFormat="1" applyFont="1" applyFill="1" applyBorder="1" applyAlignment="1">
      <alignment horizontal="center"/>
    </xf>
    <xf numFmtId="49" fontId="71" fillId="4" borderId="1" xfId="0" applyNumberFormat="1" applyFont="1" applyFill="1" applyBorder="1" applyAlignment="1">
      <alignment horizontal="right"/>
    </xf>
    <xf numFmtId="49" fontId="72" fillId="4" borderId="1" xfId="0" applyNumberFormat="1" applyFont="1" applyFill="1" applyBorder="1" applyAlignment="1">
      <alignment horizontal="right"/>
    </xf>
    <xf numFmtId="4" fontId="72" fillId="4" borderId="1" xfId="0" applyNumberFormat="1" applyFont="1" applyFill="1" applyBorder="1" applyAlignment="1">
      <alignment vertical="top"/>
    </xf>
    <xf numFmtId="0" fontId="70" fillId="4" borderId="1" xfId="0" applyFont="1" applyFill="1" applyBorder="1" applyAlignment="1">
      <alignment horizontal="left" vertical="center"/>
    </xf>
    <xf numFmtId="0" fontId="73" fillId="4" borderId="1" xfId="0" applyFont="1" applyFill="1" applyBorder="1" applyAlignment="1">
      <alignment horizontal="left" wrapText="1"/>
    </xf>
    <xf numFmtId="0" fontId="70" fillId="4" borderId="1" xfId="0" applyFont="1" applyFill="1" applyBorder="1" applyAlignment="1">
      <alignment horizontal="left" vertical="top" wrapText="1"/>
    </xf>
    <xf numFmtId="0" fontId="71" fillId="4" borderId="1" xfId="0" applyFont="1" applyFill="1" applyBorder="1" applyAlignment="1">
      <alignment vertical="top" wrapText="1"/>
    </xf>
    <xf numFmtId="166" fontId="71" fillId="4" borderId="1" xfId="0" applyNumberFormat="1" applyFont="1" applyFill="1" applyBorder="1" applyAlignment="1">
      <alignment horizontal="right" vertical="top"/>
    </xf>
    <xf numFmtId="49" fontId="71" fillId="4" borderId="1" xfId="0" applyNumberFormat="1" applyFont="1" applyFill="1" applyBorder="1" applyAlignment="1">
      <alignment horizontal="right" vertical="top"/>
    </xf>
    <xf numFmtId="49" fontId="72" fillId="4" borderId="1" xfId="0" applyNumberFormat="1" applyFont="1" applyFill="1" applyBorder="1" applyAlignment="1">
      <alignment horizontal="right" vertical="top"/>
    </xf>
    <xf numFmtId="42" fontId="72" fillId="4" borderId="1" xfId="0" applyNumberFormat="1" applyFont="1" applyFill="1" applyBorder="1" applyAlignment="1">
      <alignment vertical="top"/>
    </xf>
    <xf numFmtId="0" fontId="70" fillId="4" borderId="1" xfId="0" applyFont="1" applyFill="1" applyBorder="1" applyAlignment="1">
      <alignment vertical="top" wrapText="1"/>
    </xf>
    <xf numFmtId="0" fontId="40" fillId="0" borderId="19" xfId="0" applyFont="1" applyFill="1" applyBorder="1" applyAlignment="1">
      <alignment horizontal="left" vertical="top" wrapText="1"/>
    </xf>
    <xf numFmtId="0" fontId="40" fillId="0" borderId="27" xfId="0" applyFont="1" applyFill="1" applyBorder="1" applyAlignment="1">
      <alignment horizontal="left" vertical="top" wrapText="1"/>
    </xf>
    <xf numFmtId="0" fontId="15" fillId="0" borderId="27" xfId="0" applyFont="1" applyFill="1" applyBorder="1" applyAlignment="1">
      <alignment horizontal="left" vertical="top"/>
    </xf>
    <xf numFmtId="0" fontId="40" fillId="0" borderId="27" xfId="0" applyFont="1" applyFill="1" applyBorder="1" applyAlignment="1">
      <alignment horizontal="left" vertical="top"/>
    </xf>
    <xf numFmtId="0" fontId="40" fillId="0" borderId="1" xfId="0" applyFont="1" applyFill="1" applyBorder="1" applyAlignment="1">
      <alignment horizontal="left" vertical="top" wrapText="1"/>
    </xf>
    <xf numFmtId="0" fontId="40" fillId="0" borderId="21" xfId="0" applyFont="1" applyFill="1" applyBorder="1" applyAlignment="1">
      <alignment horizontal="left" vertical="top"/>
    </xf>
    <xf numFmtId="0" fontId="40" fillId="0" borderId="28" xfId="0" applyFont="1" applyFill="1" applyBorder="1" applyAlignment="1">
      <alignment horizontal="left" vertical="top" wrapText="1"/>
    </xf>
    <xf numFmtId="0" fontId="59" fillId="0" borderId="1" xfId="0" applyFont="1" applyBorder="1" applyAlignment="1">
      <alignment vertical="top" wrapText="1"/>
    </xf>
    <xf numFmtId="44" fontId="15" fillId="0" borderId="4" xfId="0" applyNumberFormat="1" applyFont="1" applyFill="1" applyBorder="1" applyAlignment="1">
      <alignment vertical="top"/>
    </xf>
    <xf numFmtId="0" fontId="15" fillId="4" borderId="1" xfId="0" applyFont="1" applyFill="1" applyBorder="1" applyAlignment="1">
      <alignment horizontal="center"/>
    </xf>
    <xf numFmtId="0" fontId="15" fillId="4" borderId="1" xfId="0" applyFont="1" applyFill="1" applyBorder="1" applyAlignment="1">
      <alignment horizontal="center" wrapText="1"/>
    </xf>
    <xf numFmtId="0" fontId="40" fillId="4" borderId="1" xfId="0" applyFont="1" applyFill="1" applyBorder="1" applyAlignment="1">
      <alignment horizontal="center" vertical="top"/>
    </xf>
    <xf numFmtId="4" fontId="15" fillId="4" borderId="1" xfId="0" applyNumberFormat="1" applyFont="1" applyFill="1" applyBorder="1" applyAlignment="1">
      <alignment vertical="top"/>
    </xf>
    <xf numFmtId="0" fontId="40" fillId="4" borderId="1" xfId="0" applyFont="1" applyFill="1" applyBorder="1" applyAlignment="1">
      <alignment horizontal="center"/>
    </xf>
    <xf numFmtId="0" fontId="61" fillId="4" borderId="1" xfId="0" applyFont="1" applyFill="1" applyBorder="1" applyAlignment="1">
      <alignment horizontal="center"/>
    </xf>
    <xf numFmtId="0" fontId="40" fillId="4" borderId="1" xfId="0" applyFont="1" applyFill="1" applyBorder="1" applyAlignment="1">
      <alignment horizontal="center" wrapText="1"/>
    </xf>
    <xf numFmtId="4" fontId="40" fillId="4" borderId="1" xfId="0" applyNumberFormat="1" applyFont="1" applyFill="1" applyBorder="1" applyAlignment="1">
      <alignment vertical="top"/>
    </xf>
    <xf numFmtId="0" fontId="66" fillId="3" borderId="1" xfId="0" applyFont="1" applyFill="1" applyBorder="1" applyAlignment="1">
      <alignment horizontal="left" vertical="top" wrapText="1"/>
    </xf>
    <xf numFmtId="0" fontId="65" fillId="8" borderId="1" xfId="0" applyFont="1" applyFill="1" applyBorder="1" applyAlignment="1">
      <alignment horizontal="center" vertical="top"/>
    </xf>
    <xf numFmtId="0" fontId="66" fillId="3" borderId="1" xfId="0" applyFont="1" applyFill="1" applyBorder="1" applyAlignment="1">
      <alignment horizontal="center" vertical="top" wrapText="1"/>
    </xf>
    <xf numFmtId="165" fontId="40" fillId="4" borderId="1" xfId="0" applyNumberFormat="1" applyFont="1" applyFill="1" applyBorder="1" applyAlignment="1">
      <alignment horizontal="left" vertical="top" wrapText="1"/>
    </xf>
    <xf numFmtId="166" fontId="15" fillId="4" borderId="1" xfId="0" applyNumberFormat="1" applyFont="1" applyFill="1" applyBorder="1" applyAlignment="1">
      <alignment horizontal="center" vertical="top"/>
    </xf>
    <xf numFmtId="49" fontId="15" fillId="4" borderId="1" xfId="0" applyNumberFormat="1" applyFont="1" applyFill="1" applyBorder="1" applyAlignment="1">
      <alignment horizontal="right" vertical="top"/>
    </xf>
    <xf numFmtId="49" fontId="14" fillId="4" borderId="1" xfId="0" applyNumberFormat="1" applyFont="1" applyFill="1" applyBorder="1" applyAlignment="1">
      <alignment horizontal="right" vertical="top"/>
    </xf>
    <xf numFmtId="0" fontId="61" fillId="4" borderId="1" xfId="0" applyFont="1" applyFill="1" applyBorder="1" applyAlignment="1">
      <alignment horizontal="left" vertical="top" wrapText="1"/>
    </xf>
    <xf numFmtId="165" fontId="65" fillId="0" borderId="1" xfId="0" applyNumberFormat="1" applyFont="1" applyFill="1" applyBorder="1" applyAlignment="1">
      <alignment horizontal="left" vertical="top" wrapText="1"/>
    </xf>
    <xf numFmtId="4" fontId="18" fillId="0" borderId="1" xfId="0" applyNumberFormat="1" applyFont="1" applyFill="1" applyBorder="1" applyAlignment="1">
      <alignment vertical="top"/>
    </xf>
    <xf numFmtId="0" fontId="66" fillId="0" borderId="1" xfId="0" applyFont="1" applyFill="1" applyBorder="1" applyAlignment="1">
      <alignment horizontal="left" vertical="top" wrapText="1"/>
    </xf>
    <xf numFmtId="44" fontId="26" fillId="0" borderId="4" xfId="2" applyFont="1" applyFill="1" applyBorder="1" applyAlignment="1">
      <alignment vertical="top"/>
    </xf>
    <xf numFmtId="4" fontId="67" fillId="0" borderId="0" xfId="0" applyNumberFormat="1" applyFont="1" applyFill="1" applyAlignment="1">
      <alignment horizontal="center" vertical="center"/>
    </xf>
    <xf numFmtId="165" fontId="26" fillId="9" borderId="1" xfId="0" applyNumberFormat="1" applyFont="1" applyFill="1" applyBorder="1" applyAlignment="1">
      <alignment horizontal="left" vertical="top"/>
    </xf>
    <xf numFmtId="0" fontId="26" fillId="3" borderId="0" xfId="0" applyFont="1" applyFill="1" applyAlignment="1">
      <alignment vertical="top"/>
    </xf>
    <xf numFmtId="165" fontId="65" fillId="3" borderId="1" xfId="0" applyNumberFormat="1" applyFont="1" applyFill="1" applyBorder="1" applyAlignment="1">
      <alignment horizontal="left" vertical="top"/>
    </xf>
    <xf numFmtId="4" fontId="18" fillId="3" borderId="1" xfId="0" applyNumberFormat="1" applyFont="1" applyFill="1" applyBorder="1" applyAlignment="1">
      <alignment vertical="top"/>
    </xf>
    <xf numFmtId="0" fontId="65" fillId="3" borderId="1" xfId="0" applyFont="1" applyFill="1" applyBorder="1" applyAlignment="1">
      <alignment horizontal="left" vertical="top" wrapText="1"/>
    </xf>
    <xf numFmtId="44" fontId="26" fillId="3" borderId="0" xfId="2" applyFont="1" applyFill="1" applyAlignment="1">
      <alignment horizontal="left" vertical="top"/>
    </xf>
    <xf numFmtId="44" fontId="26" fillId="3" borderId="0" xfId="2" applyFont="1" applyFill="1" applyAlignment="1">
      <alignment horizontal="left" vertical="top" wrapText="1"/>
    </xf>
    <xf numFmtId="0" fontId="64" fillId="3" borderId="0" xfId="0" applyFont="1" applyFill="1" applyAlignment="1">
      <alignment vertical="top"/>
    </xf>
    <xf numFmtId="166" fontId="26" fillId="3" borderId="1" xfId="0" applyNumberFormat="1" applyFont="1" applyFill="1" applyBorder="1" applyAlignment="1">
      <alignment horizontal="center" vertical="top"/>
    </xf>
    <xf numFmtId="49" fontId="26" fillId="3" borderId="1" xfId="0" applyNumberFormat="1" applyFont="1" applyFill="1" applyBorder="1" applyAlignment="1">
      <alignment horizontal="right" vertical="top"/>
    </xf>
    <xf numFmtId="49" fontId="18" fillId="3" borderId="1" xfId="0" applyNumberFormat="1" applyFont="1" applyFill="1" applyBorder="1" applyAlignment="1">
      <alignment horizontal="right" vertical="top"/>
    </xf>
    <xf numFmtId="4" fontId="67" fillId="3" borderId="0" xfId="0" applyNumberFormat="1" applyFont="1" applyFill="1" applyAlignment="1">
      <alignment horizontal="center" vertical="top"/>
    </xf>
    <xf numFmtId="165" fontId="26" fillId="0" borderId="1" xfId="0" applyNumberFormat="1" applyFont="1" applyFill="1" applyBorder="1" applyAlignment="1">
      <alignment vertical="top" wrapText="1"/>
    </xf>
    <xf numFmtId="0" fontId="65" fillId="8" borderId="1" xfId="0" applyFont="1" applyFill="1" applyBorder="1" applyAlignment="1">
      <alignment horizontal="left" vertical="top" wrapText="1"/>
    </xf>
    <xf numFmtId="44" fontId="26" fillId="0" borderId="0" xfId="2" applyFont="1" applyFill="1" applyBorder="1" applyAlignment="1">
      <alignment horizontal="left" vertical="top" wrapText="1"/>
    </xf>
    <xf numFmtId="4" fontId="67" fillId="0" borderId="0" xfId="0" applyNumberFormat="1" applyFont="1" applyFill="1" applyBorder="1" applyAlignment="1">
      <alignment horizontal="center" vertical="center"/>
    </xf>
    <xf numFmtId="0" fontId="65" fillId="0" borderId="6" xfId="0" applyFont="1" applyFill="1" applyBorder="1" applyAlignment="1">
      <alignment vertical="top" wrapText="1"/>
    </xf>
    <xf numFmtId="0" fontId="40" fillId="3" borderId="0" xfId="0" applyFont="1" applyFill="1" applyAlignment="1">
      <alignment horizontal="left" vertical="center" wrapText="1"/>
    </xf>
    <xf numFmtId="0" fontId="25" fillId="0" borderId="3" xfId="0" applyFont="1" applyFill="1" applyBorder="1" applyAlignment="1">
      <alignment horizontal="left" vertical="top" wrapText="1"/>
    </xf>
    <xf numFmtId="0" fontId="25" fillId="0" borderId="6" xfId="0" applyFont="1" applyFill="1" applyBorder="1" applyAlignment="1">
      <alignment vertical="top" wrapText="1"/>
    </xf>
    <xf numFmtId="0" fontId="25" fillId="5" borderId="1" xfId="0" applyFont="1" applyFill="1" applyBorder="1" applyAlignment="1">
      <alignment vertical="top" wrapText="1"/>
    </xf>
    <xf numFmtId="0" fontId="40" fillId="4" borderId="1" xfId="0" applyFont="1" applyFill="1" applyBorder="1" applyAlignment="1">
      <alignment horizontal="left" vertical="center" wrapText="1"/>
    </xf>
    <xf numFmtId="0" fontId="70" fillId="4" borderId="1" xfId="0" applyFont="1" applyFill="1" applyBorder="1" applyAlignment="1">
      <alignment horizontal="left" vertical="center" wrapText="1"/>
    </xf>
    <xf numFmtId="0" fontId="40" fillId="3" borderId="1" xfId="0" applyFont="1" applyFill="1" applyBorder="1" applyAlignment="1">
      <alignment horizontal="left" vertical="top" wrapText="1"/>
    </xf>
    <xf numFmtId="0" fontId="40" fillId="0" borderId="1" xfId="0" applyFont="1" applyFill="1" applyBorder="1" applyAlignment="1">
      <alignment horizontal="justify" vertical="top" wrapText="1"/>
    </xf>
    <xf numFmtId="42" fontId="60" fillId="0" borderId="0" xfId="0" applyNumberFormat="1" applyFont="1" applyAlignment="1">
      <alignment horizontal="left" vertical="center" wrapText="1"/>
    </xf>
    <xf numFmtId="0" fontId="15" fillId="0" borderId="3" xfId="0" applyFont="1" applyFill="1" applyBorder="1" applyAlignment="1">
      <alignment horizontal="left" vertical="top" wrapText="1"/>
    </xf>
    <xf numFmtId="0" fontId="41" fillId="4" borderId="18" xfId="0" applyFont="1" applyFill="1" applyBorder="1" applyAlignment="1">
      <alignment horizontal="center" textRotation="45" wrapText="1"/>
    </xf>
    <xf numFmtId="165" fontId="41" fillId="4" borderId="18" xfId="0" applyNumberFormat="1" applyFont="1" applyFill="1" applyBorder="1" applyAlignment="1">
      <alignment horizontal="center" textRotation="45" wrapText="1"/>
    </xf>
    <xf numFmtId="166" fontId="41" fillId="4" borderId="18" xfId="0" applyNumberFormat="1" applyFont="1" applyFill="1" applyBorder="1" applyAlignment="1">
      <alignment horizontal="center" textRotation="45" wrapText="1"/>
    </xf>
    <xf numFmtId="49" fontId="41" fillId="4" borderId="18" xfId="0" applyNumberFormat="1" applyFont="1" applyFill="1" applyBorder="1" applyAlignment="1">
      <alignment horizontal="center" textRotation="45" wrapText="1"/>
    </xf>
    <xf numFmtId="42" fontId="41" fillId="4" borderId="18" xfId="0" applyNumberFormat="1" applyFont="1" applyFill="1" applyBorder="1" applyAlignment="1">
      <alignment horizontal="center" textRotation="45" wrapText="1"/>
    </xf>
    <xf numFmtId="0" fontId="41" fillId="6" borderId="18" xfId="0" applyFont="1" applyFill="1" applyBorder="1" applyAlignment="1">
      <alignment horizontal="center" textRotation="45" wrapText="1"/>
    </xf>
    <xf numFmtId="0" fontId="41" fillId="4" borderId="18" xfId="0" applyFont="1" applyFill="1" applyBorder="1" applyAlignment="1">
      <alignment horizontal="center" textRotation="45" wrapText="1" shrinkToFit="1"/>
    </xf>
    <xf numFmtId="0" fontId="3" fillId="0" borderId="0" xfId="0" applyFont="1" applyAlignment="1">
      <alignment wrapText="1"/>
    </xf>
    <xf numFmtId="0" fontId="4" fillId="0" borderId="0" xfId="0" applyFont="1" applyAlignment="1">
      <alignment wrapText="1"/>
    </xf>
    <xf numFmtId="0" fontId="15" fillId="3" borderId="3" xfId="0" applyFont="1" applyFill="1" applyBorder="1" applyAlignment="1">
      <alignment vertical="top" wrapText="1"/>
    </xf>
    <xf numFmtId="0" fontId="61" fillId="0" borderId="3" xfId="0" applyFont="1" applyFill="1" applyBorder="1" applyAlignment="1">
      <alignment vertical="top" wrapText="1"/>
    </xf>
    <xf numFmtId="4" fontId="54" fillId="0" borderId="0" xfId="0" applyNumberFormat="1" applyFont="1" applyFill="1" applyAlignment="1">
      <alignment horizontal="center" wrapText="1"/>
    </xf>
    <xf numFmtId="0" fontId="15" fillId="0" borderId="2" xfId="0" applyFont="1" applyFill="1" applyBorder="1" applyAlignment="1">
      <alignment horizontal="center" vertical="top" wrapText="1"/>
    </xf>
    <xf numFmtId="166" fontId="15" fillId="0" borderId="2" xfId="0" applyNumberFormat="1" applyFont="1" applyFill="1" applyBorder="1" applyAlignment="1">
      <alignment horizontal="center" vertical="top" wrapText="1"/>
    </xf>
    <xf numFmtId="49" fontId="15" fillId="0" borderId="2" xfId="0" applyNumberFormat="1" applyFont="1" applyFill="1" applyBorder="1" applyAlignment="1">
      <alignment horizontal="right" vertical="top" wrapText="1"/>
    </xf>
    <xf numFmtId="49" fontId="14" fillId="0" borderId="2" xfId="0" applyNumberFormat="1" applyFont="1" applyFill="1" applyBorder="1" applyAlignment="1">
      <alignment horizontal="right" vertical="top" wrapText="1"/>
    </xf>
    <xf numFmtId="42" fontId="14" fillId="0" borderId="2" xfId="0" applyNumberFormat="1"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2" xfId="0" applyFont="1" applyFill="1" applyBorder="1" applyAlignment="1">
      <alignment horizontal="left" vertical="top" wrapText="1"/>
    </xf>
    <xf numFmtId="0" fontId="26" fillId="0" borderId="0" xfId="0" applyFont="1" applyFill="1" applyBorder="1" applyAlignment="1">
      <alignment horizontal="left" vertical="top" wrapText="1"/>
    </xf>
    <xf numFmtId="0" fontId="18"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9" borderId="1" xfId="0" applyFont="1" applyFill="1" applyBorder="1" applyAlignment="1">
      <alignment horizontal="left" vertical="top" wrapText="1"/>
    </xf>
    <xf numFmtId="166" fontId="26" fillId="0" borderId="1" xfId="0" applyNumberFormat="1" applyFont="1" applyFill="1" applyBorder="1" applyAlignment="1">
      <alignment horizontal="center" vertical="top" wrapText="1"/>
    </xf>
    <xf numFmtId="49" fontId="26" fillId="0" borderId="1" xfId="0" applyNumberFormat="1" applyFont="1" applyFill="1" applyBorder="1" applyAlignment="1">
      <alignment horizontal="right" vertical="top" wrapText="1"/>
    </xf>
    <xf numFmtId="42" fontId="18" fillId="0" borderId="1" xfId="0" applyNumberFormat="1" applyFont="1" applyFill="1" applyBorder="1" applyAlignment="1">
      <alignment horizontal="left" vertical="top" wrapText="1"/>
    </xf>
    <xf numFmtId="0" fontId="26" fillId="0" borderId="1" xfId="0" applyFont="1" applyFill="1" applyBorder="1" applyAlignment="1">
      <alignment horizontal="left" vertical="center" wrapText="1"/>
    </xf>
    <xf numFmtId="0" fontId="26" fillId="0" borderId="0" xfId="0" applyFont="1" applyFill="1" applyAlignment="1">
      <alignment horizontal="left" vertical="top" wrapText="1"/>
    </xf>
    <xf numFmtId="0" fontId="51" fillId="2" borderId="14" xfId="0" applyFont="1" applyFill="1" applyBorder="1" applyAlignment="1">
      <alignment horizontal="center" wrapText="1"/>
    </xf>
    <xf numFmtId="0" fontId="51" fillId="2" borderId="15" xfId="0" applyFont="1" applyFill="1" applyBorder="1" applyAlignment="1">
      <alignment horizontal="center" wrapText="1"/>
    </xf>
    <xf numFmtId="0" fontId="40" fillId="0" borderId="1" xfId="0" applyFont="1" applyFill="1" applyBorder="1" applyAlignment="1">
      <alignment horizontal="left" vertical="center" wrapText="1"/>
    </xf>
    <xf numFmtId="0" fontId="61" fillId="0" borderId="1" xfId="0" applyFont="1" applyFill="1" applyBorder="1" applyAlignment="1">
      <alignment horizontal="left" vertical="center" wrapText="1"/>
    </xf>
    <xf numFmtId="0" fontId="40" fillId="0" borderId="1" xfId="0" applyFont="1" applyFill="1" applyBorder="1" applyAlignment="1">
      <alignment horizontal="left" vertical="top" wrapText="1"/>
    </xf>
    <xf numFmtId="0" fontId="40" fillId="8" borderId="1" xfId="0" applyFont="1" applyFill="1" applyBorder="1" applyAlignment="1">
      <alignment horizontal="left" vertical="center" wrapText="1"/>
    </xf>
    <xf numFmtId="0" fontId="46" fillId="0" borderId="0" xfId="0" applyFont="1" applyFill="1" applyBorder="1" applyAlignment="1">
      <alignment horizontal="left" vertical="top" wrapText="1"/>
    </xf>
    <xf numFmtId="0" fontId="19" fillId="0" borderId="13" xfId="0" applyFont="1" applyFill="1" applyBorder="1" applyAlignment="1">
      <alignment horizontal="right" vertical="top" wrapText="1"/>
    </xf>
    <xf numFmtId="0" fontId="19" fillId="0" borderId="0" xfId="0" applyFont="1" applyFill="1" applyBorder="1" applyAlignment="1">
      <alignment horizontal="right" vertical="top" wrapText="1"/>
    </xf>
    <xf numFmtId="0" fontId="20" fillId="0" borderId="21" xfId="0" applyFont="1" applyBorder="1" applyAlignment="1">
      <alignment horizontal="right" vertical="top" wrapText="1"/>
    </xf>
    <xf numFmtId="0" fontId="20" fillId="0" borderId="0" xfId="0" applyFont="1" applyBorder="1" applyAlignment="1">
      <alignment horizontal="right" vertical="top" wrapText="1"/>
    </xf>
    <xf numFmtId="0" fontId="20" fillId="0" borderId="5" xfId="0" applyFont="1" applyBorder="1" applyAlignment="1">
      <alignment horizontal="right" vertical="top" wrapText="1"/>
    </xf>
    <xf numFmtId="0" fontId="15" fillId="0" borderId="6"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3" xfId="0" applyFont="1" applyFill="1" applyBorder="1" applyAlignment="1">
      <alignment horizontal="center" vertical="top" wrapText="1"/>
    </xf>
    <xf numFmtId="0" fontId="14" fillId="0" borderId="6"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3" xfId="0" applyFont="1" applyFill="1" applyBorder="1" applyAlignment="1">
      <alignment horizontal="left" vertical="top" wrapText="1"/>
    </xf>
    <xf numFmtId="0" fontId="48" fillId="0" borderId="0" xfId="0" applyFont="1" applyFill="1" applyBorder="1" applyAlignment="1">
      <alignment horizontal="left" vertical="top" wrapText="1"/>
    </xf>
    <xf numFmtId="0" fontId="20" fillId="0" borderId="13" xfId="0" applyFont="1" applyBorder="1" applyAlignment="1">
      <alignment horizontal="right" vertical="top" wrapText="1"/>
    </xf>
    <xf numFmtId="0" fontId="21" fillId="0" borderId="16" xfId="0" applyFont="1" applyBorder="1" applyAlignment="1">
      <alignment horizontal="center"/>
    </xf>
    <xf numFmtId="0" fontId="21" fillId="0" borderId="17" xfId="0" applyFont="1" applyBorder="1" applyAlignment="1">
      <alignment horizontal="center"/>
    </xf>
  </cellXfs>
  <cellStyles count="336">
    <cellStyle name="Currency" xfId="2"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Hyperlink" xfId="1" builtinId="8"/>
    <cellStyle name="Normal" xfId="0" builtinId="0"/>
  </cellStyles>
  <dxfs count="0"/>
  <tableStyles count="0" defaultTableStyle="TableStyleMedium2" defaultPivotStyle="PivotStyleLight16"/>
  <colors>
    <mruColors>
      <color rgb="FF0000FF"/>
      <color rgb="FFFF5050"/>
      <color rgb="FF9999FF"/>
      <color rgb="FF9966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G382"/>
  <sheetViews>
    <sheetView zoomScaleNormal="100" workbookViewId="0">
      <pane ySplit="2" topLeftCell="A26" activePane="bottomLeft" state="frozen"/>
      <selection activeCell="E19" sqref="E19"/>
      <selection pane="bottomLeft" activeCell="K1" sqref="K1:K1048576"/>
    </sheetView>
  </sheetViews>
  <sheetFormatPr baseColWidth="10" defaultColWidth="8.83203125" defaultRowHeight="20"/>
  <cols>
    <col min="1" max="1" width="4" style="11" customWidth="1"/>
    <col min="2" max="2" width="9.33203125" style="321" customWidth="1"/>
    <col min="3" max="3" width="14.5" style="324" customWidth="1"/>
    <col min="4" max="4" width="40.83203125" style="16" customWidth="1"/>
    <col min="5" max="5" width="3.6640625" style="541" customWidth="1"/>
    <col min="6" max="6" width="22.33203125" style="12" customWidth="1"/>
    <col min="7" max="7" width="19.1640625" style="280" customWidth="1"/>
    <col min="8" max="8" width="7.5" style="13" customWidth="1"/>
    <col min="9" max="9" width="9.6640625" style="14" customWidth="1"/>
    <col min="10" max="10" width="10.1640625" style="15" customWidth="1"/>
    <col min="11" max="11" width="17.5" style="480" customWidth="1"/>
    <col min="12" max="12" width="17.1640625" style="766" customWidth="1"/>
    <col min="13" max="13" width="8.33203125" style="518" customWidth="1"/>
    <col min="14" max="14" width="7" style="527" customWidth="1"/>
    <col min="15" max="15" width="53.1640625" style="495" customWidth="1"/>
    <col min="16" max="16" width="14.5" style="17" hidden="1" customWidth="1"/>
    <col min="17" max="17" width="14.5" style="18" hidden="1" customWidth="1"/>
    <col min="18" max="18" width="12.6640625" style="18" hidden="1" customWidth="1"/>
    <col min="19" max="24" width="14.5" style="18" hidden="1" customWidth="1"/>
    <col min="25" max="25" width="14.5" style="17" hidden="1" customWidth="1"/>
    <col min="26" max="26" width="14.83203125" style="19" hidden="1" customWidth="1"/>
    <col min="27" max="27" width="23.83203125" style="19" hidden="1" customWidth="1"/>
    <col min="28" max="28" width="20.83203125" style="450" customWidth="1"/>
    <col min="29" max="16384" width="8.83203125" style="1"/>
  </cols>
  <sheetData>
    <row r="1" spans="1:28" ht="21" thickBot="1"/>
    <row r="2" spans="1:28" s="306" customFormat="1" ht="111" thickBot="1">
      <c r="A2" s="307"/>
      <c r="B2" s="390" t="s">
        <v>7</v>
      </c>
      <c r="C2" s="295" t="s">
        <v>12</v>
      </c>
      <c r="D2" s="315" t="s">
        <v>3</v>
      </c>
      <c r="E2" s="595" t="s">
        <v>1304</v>
      </c>
      <c r="F2" s="326" t="s">
        <v>1</v>
      </c>
      <c r="G2" s="281" t="s">
        <v>287</v>
      </c>
      <c r="H2" s="296" t="s">
        <v>64</v>
      </c>
      <c r="I2" s="297" t="s">
        <v>601</v>
      </c>
      <c r="J2" s="297" t="s">
        <v>602</v>
      </c>
      <c r="K2" s="447" t="s">
        <v>187</v>
      </c>
      <c r="L2" s="299" t="s">
        <v>603</v>
      </c>
      <c r="M2" s="299" t="s">
        <v>1303</v>
      </c>
      <c r="N2" s="528" t="s">
        <v>2</v>
      </c>
      <c r="O2" s="295" t="s">
        <v>604</v>
      </c>
      <c r="P2" s="303" t="s">
        <v>188</v>
      </c>
      <c r="Q2" s="304" t="s">
        <v>189</v>
      </c>
      <c r="R2" s="304" t="s">
        <v>190</v>
      </c>
      <c r="S2" s="304" t="s">
        <v>191</v>
      </c>
      <c r="T2" s="304" t="s">
        <v>192</v>
      </c>
      <c r="U2" s="304" t="s">
        <v>193</v>
      </c>
      <c r="V2" s="304" t="s">
        <v>194</v>
      </c>
      <c r="W2" s="304" t="s">
        <v>195</v>
      </c>
      <c r="X2" s="304" t="s">
        <v>196</v>
      </c>
      <c r="Y2" s="303" t="s">
        <v>197</v>
      </c>
      <c r="Z2" s="305"/>
      <c r="AA2" s="305"/>
      <c r="AB2" s="449"/>
    </row>
    <row r="3" spans="1:28" s="4" customFormat="1" ht="39" customHeight="1">
      <c r="A3" s="8"/>
      <c r="B3" s="391"/>
      <c r="C3" s="327"/>
      <c r="D3" s="805" t="s">
        <v>535</v>
      </c>
      <c r="E3" s="805"/>
      <c r="F3" s="805"/>
      <c r="G3" s="805"/>
      <c r="H3" s="805"/>
      <c r="I3" s="805"/>
      <c r="J3" s="806"/>
      <c r="K3" s="481">
        <f>SUM(K4:K281)</f>
        <v>66353546.299999997</v>
      </c>
      <c r="L3" s="496"/>
      <c r="M3" s="496"/>
      <c r="N3" s="529"/>
      <c r="O3" s="496"/>
      <c r="P3" s="9"/>
      <c r="Q3" s="9"/>
      <c r="R3" s="9"/>
      <c r="S3" s="9"/>
      <c r="T3" s="9"/>
      <c r="U3" s="9"/>
      <c r="V3" s="9"/>
      <c r="W3" s="9"/>
      <c r="X3" s="9"/>
      <c r="Y3" s="9"/>
      <c r="Z3" s="10"/>
      <c r="AA3" s="10"/>
      <c r="AB3" s="449"/>
    </row>
    <row r="4" spans="1:28" s="49" customFormat="1" ht="28">
      <c r="A4" s="43"/>
      <c r="B4" s="289" t="s">
        <v>513</v>
      </c>
      <c r="C4" s="289" t="s">
        <v>708</v>
      </c>
      <c r="D4" s="45" t="s">
        <v>517</v>
      </c>
      <c r="E4" s="542" t="s">
        <v>1306</v>
      </c>
      <c r="F4" s="46" t="s">
        <v>950</v>
      </c>
      <c r="G4" s="282" t="s">
        <v>228</v>
      </c>
      <c r="H4" s="160">
        <v>93.424000000000007</v>
      </c>
      <c r="I4" s="103" t="s">
        <v>518</v>
      </c>
      <c r="J4" s="149" t="s">
        <v>519</v>
      </c>
      <c r="K4" s="482">
        <v>8000</v>
      </c>
      <c r="L4" s="723" t="s">
        <v>19</v>
      </c>
      <c r="M4" s="519" t="s">
        <v>1308</v>
      </c>
      <c r="N4" s="530" t="s">
        <v>5</v>
      </c>
      <c r="O4" s="289" t="s">
        <v>520</v>
      </c>
      <c r="P4" s="45"/>
      <c r="Q4" s="48"/>
      <c r="R4" s="48"/>
      <c r="S4" s="48"/>
      <c r="T4" s="48"/>
      <c r="U4" s="48"/>
      <c r="V4" s="48"/>
      <c r="W4" s="48"/>
      <c r="X4" s="45"/>
      <c r="Y4" s="45"/>
      <c r="Z4" s="26">
        <f t="shared" ref="Z4:Z7" si="0">SUM(P4:Y4)</f>
        <v>0</v>
      </c>
      <c r="AA4" s="27">
        <f t="shared" ref="AA4:AA7" si="1">Z4-K4</f>
        <v>-8000</v>
      </c>
      <c r="AB4" s="451"/>
    </row>
    <row r="5" spans="1:28" s="49" customFormat="1" ht="70">
      <c r="A5" s="43"/>
      <c r="B5" s="289" t="s">
        <v>513</v>
      </c>
      <c r="C5" s="289" t="s">
        <v>1302</v>
      </c>
      <c r="D5" s="45" t="s">
        <v>770</v>
      </c>
      <c r="E5" s="542" t="s">
        <v>1305</v>
      </c>
      <c r="F5" s="46" t="s">
        <v>706</v>
      </c>
      <c r="G5" s="282" t="s">
        <v>533</v>
      </c>
      <c r="H5" s="160" t="s">
        <v>228</v>
      </c>
      <c r="I5" s="103" t="s">
        <v>273</v>
      </c>
      <c r="J5" s="149" t="s">
        <v>352</v>
      </c>
      <c r="K5" s="482">
        <v>215735</v>
      </c>
      <c r="L5" s="723" t="s">
        <v>19</v>
      </c>
      <c r="M5" s="519" t="s">
        <v>1308</v>
      </c>
      <c r="N5" s="530" t="s">
        <v>5</v>
      </c>
      <c r="O5" s="289" t="s">
        <v>534</v>
      </c>
      <c r="P5" s="48"/>
      <c r="Q5" s="48">
        <v>46807</v>
      </c>
      <c r="R5" s="48"/>
      <c r="S5" s="48">
        <f>9604+491+105+946+57</f>
        <v>11203</v>
      </c>
      <c r="T5" s="48">
        <v>4500</v>
      </c>
      <c r="U5" s="48">
        <f>2590+43900+1500+56000</f>
        <v>103990</v>
      </c>
      <c r="V5" s="48">
        <f>2500+6000</f>
        <v>8500</v>
      </c>
      <c r="W5" s="48"/>
      <c r="X5" s="48"/>
      <c r="Y5" s="48"/>
      <c r="Z5" s="26">
        <f t="shared" si="0"/>
        <v>175000</v>
      </c>
      <c r="AA5" s="27">
        <f t="shared" si="1"/>
        <v>-40735</v>
      </c>
      <c r="AB5" s="451"/>
    </row>
    <row r="6" spans="1:28" s="49" customFormat="1" ht="42">
      <c r="A6" s="43"/>
      <c r="B6" s="289" t="s">
        <v>513</v>
      </c>
      <c r="C6" s="289" t="s">
        <v>423</v>
      </c>
      <c r="D6" s="45" t="s">
        <v>494</v>
      </c>
      <c r="E6" s="542" t="s">
        <v>1305</v>
      </c>
      <c r="F6" s="46" t="s">
        <v>137</v>
      </c>
      <c r="G6" s="282" t="s">
        <v>480</v>
      </c>
      <c r="H6" s="160" t="s">
        <v>436</v>
      </c>
      <c r="I6" s="103" t="s">
        <v>32</v>
      </c>
      <c r="J6" s="316" t="s">
        <v>39</v>
      </c>
      <c r="K6" s="482">
        <v>175000</v>
      </c>
      <c r="L6" s="723" t="s">
        <v>19</v>
      </c>
      <c r="M6" s="519" t="s">
        <v>1308</v>
      </c>
      <c r="N6" s="530" t="s">
        <v>5</v>
      </c>
      <c r="O6" s="289" t="s">
        <v>481</v>
      </c>
      <c r="P6" s="48"/>
      <c r="Q6" s="48"/>
      <c r="R6" s="48"/>
      <c r="S6" s="48"/>
      <c r="T6" s="48"/>
      <c r="U6" s="48"/>
      <c r="V6" s="48"/>
      <c r="W6" s="48"/>
      <c r="X6" s="48"/>
      <c r="Y6" s="48"/>
      <c r="Z6" s="26"/>
      <c r="AA6" s="27"/>
      <c r="AB6" s="451"/>
    </row>
    <row r="7" spans="1:28" s="50" customFormat="1" ht="42">
      <c r="A7" s="43"/>
      <c r="B7" s="289" t="s">
        <v>513</v>
      </c>
      <c r="C7" s="289" t="s">
        <v>423</v>
      </c>
      <c r="D7" s="45" t="s">
        <v>494</v>
      </c>
      <c r="E7" s="542" t="s">
        <v>1305</v>
      </c>
      <c r="F7" s="46" t="s">
        <v>752</v>
      </c>
      <c r="G7" s="328">
        <v>20170466</v>
      </c>
      <c r="H7" s="160" t="s">
        <v>436</v>
      </c>
      <c r="I7" s="103" t="s">
        <v>753</v>
      </c>
      <c r="J7" s="148" t="s">
        <v>36</v>
      </c>
      <c r="K7" s="482">
        <v>175000</v>
      </c>
      <c r="L7" s="723" t="s">
        <v>19</v>
      </c>
      <c r="M7" s="519" t="s">
        <v>1308</v>
      </c>
      <c r="N7" s="530" t="s">
        <v>5</v>
      </c>
      <c r="O7" s="289" t="s">
        <v>481</v>
      </c>
      <c r="P7" s="48"/>
      <c r="Q7" s="48">
        <v>192953</v>
      </c>
      <c r="R7" s="48"/>
      <c r="S7" s="48">
        <v>66311</v>
      </c>
      <c r="T7" s="48">
        <v>18867</v>
      </c>
      <c r="U7" s="48">
        <v>51000</v>
      </c>
      <c r="V7" s="48">
        <v>26140</v>
      </c>
      <c r="W7" s="48">
        <v>5000</v>
      </c>
      <c r="X7" s="48">
        <f>31843</f>
        <v>31843</v>
      </c>
      <c r="Y7" s="48">
        <v>57886</v>
      </c>
      <c r="Z7" s="26">
        <f t="shared" si="0"/>
        <v>450000</v>
      </c>
      <c r="AA7" s="27">
        <f t="shared" si="1"/>
        <v>275000</v>
      </c>
      <c r="AB7" s="452"/>
    </row>
    <row r="8" spans="1:28" s="50" customFormat="1" ht="28">
      <c r="A8" s="43"/>
      <c r="B8" s="289" t="s">
        <v>513</v>
      </c>
      <c r="C8" s="289" t="s">
        <v>264</v>
      </c>
      <c r="D8" s="45" t="s">
        <v>268</v>
      </c>
      <c r="E8" s="542" t="s">
        <v>1306</v>
      </c>
      <c r="F8" s="46" t="s">
        <v>489</v>
      </c>
      <c r="G8" s="282" t="s">
        <v>527</v>
      </c>
      <c r="H8" s="160" t="s">
        <v>228</v>
      </c>
      <c r="I8" s="103" t="s">
        <v>1161</v>
      </c>
      <c r="J8" s="316" t="s">
        <v>225</v>
      </c>
      <c r="K8" s="482">
        <v>957860</v>
      </c>
      <c r="L8" s="723" t="s">
        <v>19</v>
      </c>
      <c r="M8" s="519" t="s">
        <v>1308</v>
      </c>
      <c r="N8" s="530" t="s">
        <v>6</v>
      </c>
      <c r="O8" s="289" t="s">
        <v>422</v>
      </c>
      <c r="P8" s="45"/>
      <c r="Q8" s="48">
        <v>90342</v>
      </c>
      <c r="R8" s="48"/>
      <c r="S8" s="48">
        <v>26700</v>
      </c>
      <c r="T8" s="48"/>
      <c r="U8" s="48">
        <v>3500</v>
      </c>
      <c r="V8" s="48">
        <v>9868</v>
      </c>
      <c r="W8" s="48">
        <v>2800</v>
      </c>
      <c r="X8" s="48">
        <v>6790</v>
      </c>
      <c r="Y8" s="48"/>
      <c r="Z8" s="26">
        <f>SUM(P8:Y8)</f>
        <v>140000</v>
      </c>
      <c r="AA8" s="27">
        <f>Z8-K8</f>
        <v>-817860</v>
      </c>
      <c r="AB8" s="452"/>
    </row>
    <row r="9" spans="1:28" s="50" customFormat="1" ht="70">
      <c r="A9" s="43"/>
      <c r="B9" s="289" t="s">
        <v>513</v>
      </c>
      <c r="C9" s="289" t="s">
        <v>424</v>
      </c>
      <c r="D9" s="45" t="s">
        <v>445</v>
      </c>
      <c r="E9" s="542" t="s">
        <v>1305</v>
      </c>
      <c r="F9" s="46" t="s">
        <v>136</v>
      </c>
      <c r="G9" s="283" t="s">
        <v>754</v>
      </c>
      <c r="H9" s="160">
        <v>93.504999999999995</v>
      </c>
      <c r="I9" s="103" t="s">
        <v>540</v>
      </c>
      <c r="J9" s="148" t="s">
        <v>696</v>
      </c>
      <c r="K9" s="482">
        <v>100000</v>
      </c>
      <c r="L9" s="723" t="s">
        <v>19</v>
      </c>
      <c r="M9" s="519" t="s">
        <v>1308</v>
      </c>
      <c r="N9" s="530" t="s">
        <v>5</v>
      </c>
      <c r="O9" s="289" t="s">
        <v>522</v>
      </c>
      <c r="P9" s="45"/>
      <c r="Q9" s="48">
        <v>90342</v>
      </c>
      <c r="R9" s="48"/>
      <c r="S9" s="48">
        <v>26700</v>
      </c>
      <c r="T9" s="48"/>
      <c r="U9" s="48">
        <v>3500</v>
      </c>
      <c r="V9" s="48">
        <v>9868</v>
      </c>
      <c r="W9" s="48">
        <v>2800</v>
      </c>
      <c r="X9" s="48">
        <v>6790</v>
      </c>
      <c r="Y9" s="48"/>
      <c r="Z9" s="26">
        <f>SUM(P9:Y9)</f>
        <v>140000</v>
      </c>
      <c r="AA9" s="27">
        <f>Z9-K9</f>
        <v>40000</v>
      </c>
      <c r="AB9" s="452"/>
    </row>
    <row r="10" spans="1:28" s="50" customFormat="1" ht="70">
      <c r="A10" s="43"/>
      <c r="B10" s="289" t="s">
        <v>513</v>
      </c>
      <c r="C10" s="289" t="s">
        <v>424</v>
      </c>
      <c r="D10" s="45" t="s">
        <v>445</v>
      </c>
      <c r="E10" s="542" t="s">
        <v>1305</v>
      </c>
      <c r="F10" s="46" t="s">
        <v>136</v>
      </c>
      <c r="G10" s="282" t="s">
        <v>515</v>
      </c>
      <c r="H10" s="160">
        <v>93.504999999999995</v>
      </c>
      <c r="I10" s="103" t="s">
        <v>32</v>
      </c>
      <c r="J10" s="316" t="s">
        <v>39</v>
      </c>
      <c r="K10" s="482">
        <v>140000</v>
      </c>
      <c r="L10" s="723" t="s">
        <v>19</v>
      </c>
      <c r="M10" s="519" t="s">
        <v>1308</v>
      </c>
      <c r="N10" s="530" t="s">
        <v>5</v>
      </c>
      <c r="O10" s="289" t="s">
        <v>522</v>
      </c>
      <c r="P10" s="45"/>
      <c r="Q10" s="48"/>
      <c r="R10" s="48"/>
      <c r="S10" s="48"/>
      <c r="T10" s="48"/>
      <c r="U10" s="48"/>
      <c r="V10" s="48"/>
      <c r="W10" s="48"/>
      <c r="X10" s="48"/>
      <c r="Y10" s="48"/>
      <c r="Z10" s="26"/>
      <c r="AA10" s="27"/>
      <c r="AB10" s="452"/>
    </row>
    <row r="11" spans="1:28" s="50" customFormat="1" ht="42">
      <c r="A11" s="43"/>
      <c r="B11" s="289" t="s">
        <v>513</v>
      </c>
      <c r="C11" s="289" t="s">
        <v>255</v>
      </c>
      <c r="D11" s="22" t="s">
        <v>256</v>
      </c>
      <c r="E11" s="542" t="s">
        <v>1306</v>
      </c>
      <c r="F11" s="46" t="s">
        <v>257</v>
      </c>
      <c r="G11" s="282" t="s">
        <v>437</v>
      </c>
      <c r="H11" s="160">
        <v>93.313999999999993</v>
      </c>
      <c r="I11" s="103" t="s">
        <v>258</v>
      </c>
      <c r="J11" s="149" t="s">
        <v>259</v>
      </c>
      <c r="K11" s="482">
        <v>450000</v>
      </c>
      <c r="L11" s="723" t="s">
        <v>19</v>
      </c>
      <c r="M11" s="519" t="s">
        <v>1308</v>
      </c>
      <c r="N11" s="530" t="s">
        <v>5</v>
      </c>
      <c r="O11" s="289" t="s">
        <v>521</v>
      </c>
      <c r="P11" s="48"/>
      <c r="Q11" s="48">
        <v>32223</v>
      </c>
      <c r="R11" s="48"/>
      <c r="S11" s="48">
        <f>7180+327+116+2521+175</f>
        <v>10319</v>
      </c>
      <c r="T11" s="48"/>
      <c r="U11" s="48">
        <v>78550</v>
      </c>
      <c r="V11" s="48">
        <v>9925</v>
      </c>
      <c r="W11" s="48"/>
      <c r="X11" s="48"/>
      <c r="Y11" s="48"/>
      <c r="Z11" s="26">
        <f t="shared" ref="Z11:Z25" si="2">SUM(P11:Y11)</f>
        <v>131017</v>
      </c>
      <c r="AA11" s="27">
        <f t="shared" ref="AA11:AA25" si="3">Z11-K11</f>
        <v>-318983</v>
      </c>
      <c r="AB11" s="452"/>
    </row>
    <row r="12" spans="1:28" s="50" customFormat="1" ht="34">
      <c r="A12" s="43"/>
      <c r="B12" s="289" t="s">
        <v>513</v>
      </c>
      <c r="C12" s="289" t="s">
        <v>264</v>
      </c>
      <c r="D12" s="45" t="s">
        <v>265</v>
      </c>
      <c r="E12" s="542" t="s">
        <v>1306</v>
      </c>
      <c r="F12" s="46" t="s">
        <v>266</v>
      </c>
      <c r="G12" s="282" t="s">
        <v>527</v>
      </c>
      <c r="H12" s="160" t="s">
        <v>228</v>
      </c>
      <c r="I12" s="103" t="s">
        <v>267</v>
      </c>
      <c r="J12" s="316" t="s">
        <v>225</v>
      </c>
      <c r="K12" s="482">
        <v>508392</v>
      </c>
      <c r="L12" s="723" t="s">
        <v>19</v>
      </c>
      <c r="M12" s="519" t="s">
        <v>1308</v>
      </c>
      <c r="N12" s="530" t="s">
        <v>5</v>
      </c>
      <c r="O12" s="289" t="s">
        <v>528</v>
      </c>
      <c r="P12" s="48"/>
      <c r="Q12" s="48">
        <v>69648</v>
      </c>
      <c r="R12" s="48"/>
      <c r="S12" s="48">
        <f>15041+761+174+1270+121</f>
        <v>17367</v>
      </c>
      <c r="T12" s="48">
        <v>25500</v>
      </c>
      <c r="U12" s="48">
        <f>3250+81812+4500+18500</f>
        <v>108062</v>
      </c>
      <c r="V12" s="48">
        <f>3250+11750</f>
        <v>15000</v>
      </c>
      <c r="W12" s="48"/>
      <c r="X12" s="48"/>
      <c r="Y12" s="48"/>
      <c r="Z12" s="26">
        <f t="shared" si="2"/>
        <v>235577</v>
      </c>
      <c r="AA12" s="27">
        <f t="shared" si="3"/>
        <v>-272815</v>
      </c>
      <c r="AB12" s="452"/>
    </row>
    <row r="13" spans="1:28" s="50" customFormat="1" ht="42">
      <c r="A13" s="43"/>
      <c r="B13" s="289" t="s">
        <v>513</v>
      </c>
      <c r="C13" s="289" t="s">
        <v>397</v>
      </c>
      <c r="D13" s="45" t="s">
        <v>396</v>
      </c>
      <c r="E13" s="542" t="s">
        <v>1305</v>
      </c>
      <c r="F13" s="46" t="s">
        <v>973</v>
      </c>
      <c r="G13" s="282" t="s">
        <v>523</v>
      </c>
      <c r="H13" s="160">
        <v>93.242999999999995</v>
      </c>
      <c r="I13" s="103" t="s">
        <v>47</v>
      </c>
      <c r="J13" s="148" t="s">
        <v>48</v>
      </c>
      <c r="K13" s="482">
        <f>160000*5</f>
        <v>800000</v>
      </c>
      <c r="L13" s="723" t="s">
        <v>19</v>
      </c>
      <c r="M13" s="519" t="s">
        <v>1308</v>
      </c>
      <c r="N13" s="530" t="s">
        <v>6</v>
      </c>
      <c r="O13" s="289" t="s">
        <v>524</v>
      </c>
      <c r="P13" s="48"/>
      <c r="Q13" s="48">
        <v>69648</v>
      </c>
      <c r="R13" s="48"/>
      <c r="S13" s="48">
        <f>15041+761+174+1270+121</f>
        <v>17367</v>
      </c>
      <c r="T13" s="48">
        <v>25500</v>
      </c>
      <c r="U13" s="48">
        <f>3250+81812+4500+18500</f>
        <v>108062</v>
      </c>
      <c r="V13" s="48">
        <f>3250+11750</f>
        <v>15000</v>
      </c>
      <c r="W13" s="48"/>
      <c r="X13" s="48"/>
      <c r="Y13" s="48"/>
      <c r="Z13" s="26">
        <f t="shared" si="2"/>
        <v>235577</v>
      </c>
      <c r="AA13" s="27">
        <f t="shared" si="3"/>
        <v>-564423</v>
      </c>
      <c r="AB13" s="452"/>
    </row>
    <row r="14" spans="1:28" s="50" customFormat="1" ht="42">
      <c r="A14" s="43"/>
      <c r="B14" s="289" t="s">
        <v>513</v>
      </c>
      <c r="C14" s="289" t="s">
        <v>253</v>
      </c>
      <c r="D14" s="45" t="s">
        <v>531</v>
      </c>
      <c r="E14" s="542" t="s">
        <v>1305</v>
      </c>
      <c r="F14" s="46" t="s">
        <v>975</v>
      </c>
      <c r="G14" s="282" t="s">
        <v>527</v>
      </c>
      <c r="H14" s="160">
        <v>93.424000000000007</v>
      </c>
      <c r="I14" s="103" t="s">
        <v>699</v>
      </c>
      <c r="J14" s="149" t="s">
        <v>698</v>
      </c>
      <c r="K14" s="482">
        <v>30000</v>
      </c>
      <c r="L14" s="723" t="s">
        <v>19</v>
      </c>
      <c r="M14" s="519" t="s">
        <v>1308</v>
      </c>
      <c r="N14" s="530" t="s">
        <v>5</v>
      </c>
      <c r="O14" s="289" t="s">
        <v>532</v>
      </c>
      <c r="P14" s="48"/>
      <c r="Q14" s="48">
        <v>502665</v>
      </c>
      <c r="R14" s="48"/>
      <c r="S14" s="48">
        <v>179243</v>
      </c>
      <c r="T14" s="48">
        <v>22875</v>
      </c>
      <c r="U14" s="48">
        <f>6250+4837+17102+5000+9000+3000</f>
        <v>45189</v>
      </c>
      <c r="V14" s="48">
        <v>17028</v>
      </c>
      <c r="W14" s="48">
        <v>8000</v>
      </c>
      <c r="X14" s="48">
        <v>25000</v>
      </c>
      <c r="Y14" s="48"/>
      <c r="Z14" s="26">
        <f t="shared" si="2"/>
        <v>800000</v>
      </c>
      <c r="AA14" s="27">
        <f t="shared" si="3"/>
        <v>770000</v>
      </c>
      <c r="AB14" s="452"/>
    </row>
    <row r="15" spans="1:28" s="50" customFormat="1" ht="84">
      <c r="A15" s="43"/>
      <c r="B15" s="289" t="s">
        <v>513</v>
      </c>
      <c r="C15" s="289" t="s">
        <v>418</v>
      </c>
      <c r="D15" s="45" t="s">
        <v>420</v>
      </c>
      <c r="E15" s="542" t="s">
        <v>1305</v>
      </c>
      <c r="F15" s="46" t="s">
        <v>434</v>
      </c>
      <c r="G15" s="282" t="s">
        <v>435</v>
      </c>
      <c r="H15" s="160" t="s">
        <v>436</v>
      </c>
      <c r="I15" s="103" t="s">
        <v>139</v>
      </c>
      <c r="J15" s="316" t="s">
        <v>225</v>
      </c>
      <c r="K15" s="482">
        <v>131017</v>
      </c>
      <c r="L15" s="723" t="s">
        <v>19</v>
      </c>
      <c r="M15" s="519" t="s">
        <v>1308</v>
      </c>
      <c r="N15" s="530" t="s">
        <v>5</v>
      </c>
      <c r="O15" s="289" t="s">
        <v>482</v>
      </c>
      <c r="P15" s="45"/>
      <c r="Q15" s="45"/>
      <c r="R15" s="45"/>
      <c r="S15" s="45"/>
      <c r="T15" s="45"/>
      <c r="U15" s="45"/>
      <c r="V15" s="45"/>
      <c r="W15" s="45"/>
      <c r="X15" s="45"/>
      <c r="Y15" s="45"/>
      <c r="Z15" s="26">
        <f t="shared" si="2"/>
        <v>0</v>
      </c>
      <c r="AA15" s="27">
        <f t="shared" si="3"/>
        <v>-131017</v>
      </c>
      <c r="AB15" s="452"/>
    </row>
    <row r="16" spans="1:28" s="50" customFormat="1" ht="70">
      <c r="A16" s="43"/>
      <c r="B16" s="289" t="s">
        <v>513</v>
      </c>
      <c r="C16" s="289" t="s">
        <v>418</v>
      </c>
      <c r="D16" s="45" t="s">
        <v>420</v>
      </c>
      <c r="E16" s="542" t="s">
        <v>1305</v>
      </c>
      <c r="F16" s="46" t="s">
        <v>755</v>
      </c>
      <c r="G16" s="328">
        <v>20180149</v>
      </c>
      <c r="H16" s="160" t="s">
        <v>436</v>
      </c>
      <c r="I16" s="103" t="s">
        <v>756</v>
      </c>
      <c r="J16" s="148" t="s">
        <v>341</v>
      </c>
      <c r="K16" s="482">
        <v>28900</v>
      </c>
      <c r="L16" s="723" t="s">
        <v>19</v>
      </c>
      <c r="M16" s="519" t="s">
        <v>1308</v>
      </c>
      <c r="N16" s="530" t="s">
        <v>5</v>
      </c>
      <c r="O16" s="289" t="s">
        <v>757</v>
      </c>
      <c r="P16" s="45"/>
      <c r="Q16" s="45"/>
      <c r="R16" s="45"/>
      <c r="S16" s="45"/>
      <c r="T16" s="45"/>
      <c r="U16" s="45"/>
      <c r="V16" s="45"/>
      <c r="W16" s="45"/>
      <c r="X16" s="45"/>
      <c r="Y16" s="45"/>
      <c r="Z16" s="26">
        <f t="shared" si="2"/>
        <v>0</v>
      </c>
      <c r="AA16" s="27">
        <f t="shared" si="3"/>
        <v>-28900</v>
      </c>
      <c r="AB16" s="452"/>
    </row>
    <row r="17" spans="1:28" s="50" customFormat="1" ht="85">
      <c r="A17" s="43"/>
      <c r="B17" s="289" t="s">
        <v>513</v>
      </c>
      <c r="C17" s="289" t="s">
        <v>275</v>
      </c>
      <c r="D17" s="45" t="s">
        <v>271</v>
      </c>
      <c r="E17" s="542" t="s">
        <v>1305</v>
      </c>
      <c r="F17" s="46" t="s">
        <v>952</v>
      </c>
      <c r="G17" s="282" t="s">
        <v>516</v>
      </c>
      <c r="H17" s="160" t="s">
        <v>228</v>
      </c>
      <c r="I17" s="103" t="s">
        <v>273</v>
      </c>
      <c r="J17" s="149" t="s">
        <v>254</v>
      </c>
      <c r="K17" s="482">
        <v>76392</v>
      </c>
      <c r="L17" s="723" t="s">
        <v>19</v>
      </c>
      <c r="M17" s="519" t="s">
        <v>1308</v>
      </c>
      <c r="N17" s="530" t="s">
        <v>5</v>
      </c>
      <c r="O17" s="289" t="s">
        <v>491</v>
      </c>
      <c r="P17" s="45"/>
      <c r="Q17" s="45"/>
      <c r="R17" s="45"/>
      <c r="S17" s="45"/>
      <c r="T17" s="45"/>
      <c r="U17" s="45"/>
      <c r="V17" s="45"/>
      <c r="W17" s="45"/>
      <c r="X17" s="45"/>
      <c r="Y17" s="45"/>
      <c r="Z17" s="26"/>
      <c r="AA17" s="27"/>
      <c r="AB17" s="452"/>
    </row>
    <row r="18" spans="1:28" s="50" customFormat="1" ht="51">
      <c r="A18" s="43"/>
      <c r="B18" s="289" t="s">
        <v>513</v>
      </c>
      <c r="C18" s="289" t="s">
        <v>418</v>
      </c>
      <c r="D18" s="45" t="s">
        <v>138</v>
      </c>
      <c r="E18" s="542" t="s">
        <v>1305</v>
      </c>
      <c r="F18" s="46" t="s">
        <v>483</v>
      </c>
      <c r="G18" s="328">
        <v>20170471</v>
      </c>
      <c r="H18" s="160" t="s">
        <v>427</v>
      </c>
      <c r="I18" s="103" t="s">
        <v>540</v>
      </c>
      <c r="J18" s="148" t="s">
        <v>696</v>
      </c>
      <c r="K18" s="482">
        <v>235577</v>
      </c>
      <c r="L18" s="723" t="s">
        <v>19</v>
      </c>
      <c r="M18" s="519" t="s">
        <v>1308</v>
      </c>
      <c r="N18" s="530" t="s">
        <v>5</v>
      </c>
      <c r="O18" s="289" t="s">
        <v>430</v>
      </c>
      <c r="P18" s="45"/>
      <c r="Q18" s="45"/>
      <c r="R18" s="45"/>
      <c r="S18" s="45"/>
      <c r="T18" s="45"/>
      <c r="U18" s="45"/>
      <c r="V18" s="45"/>
      <c r="W18" s="45"/>
      <c r="X18" s="45"/>
      <c r="Y18" s="45"/>
      <c r="Z18" s="26"/>
      <c r="AA18" s="27"/>
      <c r="AB18" s="452"/>
    </row>
    <row r="19" spans="1:28" s="50" customFormat="1" ht="51">
      <c r="A19" s="43"/>
      <c r="B19" s="289" t="s">
        <v>513</v>
      </c>
      <c r="C19" s="289" t="s">
        <v>418</v>
      </c>
      <c r="D19" s="45" t="s">
        <v>138</v>
      </c>
      <c r="E19" s="542" t="s">
        <v>1305</v>
      </c>
      <c r="F19" s="46" t="s">
        <v>483</v>
      </c>
      <c r="G19" s="282" t="s">
        <v>426</v>
      </c>
      <c r="H19" s="160" t="s">
        <v>427</v>
      </c>
      <c r="I19" s="103" t="s">
        <v>32</v>
      </c>
      <c r="J19" s="316" t="s">
        <v>39</v>
      </c>
      <c r="K19" s="482">
        <v>235577</v>
      </c>
      <c r="L19" s="723" t="s">
        <v>19</v>
      </c>
      <c r="M19" s="519" t="s">
        <v>1308</v>
      </c>
      <c r="N19" s="530" t="s">
        <v>5</v>
      </c>
      <c r="O19" s="289" t="s">
        <v>430</v>
      </c>
      <c r="P19" s="45"/>
      <c r="Q19" s="45"/>
      <c r="R19" s="45"/>
      <c r="S19" s="45"/>
      <c r="T19" s="45"/>
      <c r="U19" s="45"/>
      <c r="V19" s="45"/>
      <c r="W19" s="45"/>
      <c r="X19" s="45"/>
      <c r="Y19" s="45"/>
      <c r="Z19" s="26">
        <f t="shared" ref="Z19" si="4">SUM(P19:Y19)</f>
        <v>0</v>
      </c>
      <c r="AA19" s="27">
        <f t="shared" ref="AA19" si="5">Z19-K19</f>
        <v>-235577</v>
      </c>
      <c r="AB19" s="452"/>
    </row>
    <row r="20" spans="1:28" s="50" customFormat="1" ht="51">
      <c r="A20" s="43"/>
      <c r="B20" s="289" t="s">
        <v>513</v>
      </c>
      <c r="C20" s="323" t="s">
        <v>490</v>
      </c>
      <c r="D20" s="228" t="s">
        <v>269</v>
      </c>
      <c r="E20" s="542" t="s">
        <v>1305</v>
      </c>
      <c r="F20" s="53" t="s">
        <v>701</v>
      </c>
      <c r="G20" s="285">
        <v>20170529</v>
      </c>
      <c r="H20" s="186" t="s">
        <v>228</v>
      </c>
      <c r="I20" s="182" t="s">
        <v>540</v>
      </c>
      <c r="J20" s="183" t="s">
        <v>341</v>
      </c>
      <c r="K20" s="483">
        <v>150000</v>
      </c>
      <c r="L20" s="723" t="s">
        <v>19</v>
      </c>
      <c r="M20" s="519" t="s">
        <v>1308</v>
      </c>
      <c r="N20" s="530" t="s">
        <v>5</v>
      </c>
      <c r="O20" s="323" t="s">
        <v>529</v>
      </c>
      <c r="P20" s="45"/>
      <c r="Q20" s="45"/>
      <c r="R20" s="45"/>
      <c r="S20" s="45"/>
      <c r="T20" s="45"/>
      <c r="U20" s="45"/>
      <c r="V20" s="45"/>
      <c r="W20" s="45"/>
      <c r="X20" s="45"/>
      <c r="Y20" s="45"/>
      <c r="Z20" s="26">
        <f t="shared" si="2"/>
        <v>0</v>
      </c>
      <c r="AA20" s="27">
        <f t="shared" si="3"/>
        <v>-150000</v>
      </c>
      <c r="AB20" s="452"/>
    </row>
    <row r="21" spans="1:28" s="50" customFormat="1" ht="51">
      <c r="A21" s="43"/>
      <c r="B21" s="289" t="s">
        <v>513</v>
      </c>
      <c r="C21" s="323" t="s">
        <v>490</v>
      </c>
      <c r="D21" s="134" t="s">
        <v>269</v>
      </c>
      <c r="E21" s="542" t="s">
        <v>1305</v>
      </c>
      <c r="F21" s="53" t="s">
        <v>270</v>
      </c>
      <c r="G21" s="284" t="s">
        <v>433</v>
      </c>
      <c r="H21" s="186" t="s">
        <v>228</v>
      </c>
      <c r="I21" s="182" t="s">
        <v>224</v>
      </c>
      <c r="J21" s="317" t="s">
        <v>225</v>
      </c>
      <c r="K21" s="483">
        <v>212681</v>
      </c>
      <c r="L21" s="723" t="s">
        <v>19</v>
      </c>
      <c r="M21" s="519" t="s">
        <v>1308</v>
      </c>
      <c r="N21" s="530" t="s">
        <v>5</v>
      </c>
      <c r="O21" s="323" t="s">
        <v>529</v>
      </c>
      <c r="P21" s="45"/>
      <c r="Q21" s="45"/>
      <c r="R21" s="45"/>
      <c r="S21" s="45"/>
      <c r="T21" s="45"/>
      <c r="U21" s="45"/>
      <c r="V21" s="45"/>
      <c r="W21" s="45"/>
      <c r="X21" s="45"/>
      <c r="Y21" s="45"/>
      <c r="Z21" s="26"/>
      <c r="AA21" s="27"/>
      <c r="AB21" s="452"/>
    </row>
    <row r="22" spans="1:28" s="50" customFormat="1" ht="56">
      <c r="A22" s="43"/>
      <c r="B22" s="289" t="s">
        <v>513</v>
      </c>
      <c r="C22" s="323" t="s">
        <v>697</v>
      </c>
      <c r="D22" s="278" t="s">
        <v>262</v>
      </c>
      <c r="E22" s="543" t="s">
        <v>1305</v>
      </c>
      <c r="F22" s="53" t="s">
        <v>974</v>
      </c>
      <c r="G22" s="329">
        <v>56820715</v>
      </c>
      <c r="H22" s="186">
        <v>84.325000000000003</v>
      </c>
      <c r="I22" s="182" t="s">
        <v>526</v>
      </c>
      <c r="J22" s="183" t="s">
        <v>263</v>
      </c>
      <c r="K22" s="483">
        <v>151000</v>
      </c>
      <c r="L22" s="723" t="s">
        <v>19</v>
      </c>
      <c r="M22" s="519" t="s">
        <v>1308</v>
      </c>
      <c r="N22" s="530" t="s">
        <v>5</v>
      </c>
      <c r="O22" s="323" t="s">
        <v>488</v>
      </c>
      <c r="P22" s="45"/>
      <c r="Q22" s="45"/>
      <c r="R22" s="45"/>
      <c r="S22" s="45"/>
      <c r="T22" s="45"/>
      <c r="U22" s="45"/>
      <c r="V22" s="45"/>
      <c r="W22" s="45"/>
      <c r="X22" s="45"/>
      <c r="Y22" s="45"/>
      <c r="Z22" s="26">
        <f t="shared" si="2"/>
        <v>0</v>
      </c>
      <c r="AA22" s="27">
        <f t="shared" si="3"/>
        <v>-151000</v>
      </c>
      <c r="AB22" s="452"/>
    </row>
    <row r="23" spans="1:28" s="50" customFormat="1" ht="56">
      <c r="A23" s="43"/>
      <c r="B23" s="289" t="s">
        <v>513</v>
      </c>
      <c r="C23" s="323" t="s">
        <v>762</v>
      </c>
      <c r="D23" s="228" t="s">
        <v>763</v>
      </c>
      <c r="E23" s="543" t="s">
        <v>1305</v>
      </c>
      <c r="F23" s="53" t="s">
        <v>764</v>
      </c>
      <c r="G23" s="284" t="s">
        <v>765</v>
      </c>
      <c r="H23" s="186">
        <v>93.11</v>
      </c>
      <c r="I23" s="182" t="s">
        <v>766</v>
      </c>
      <c r="J23" s="183" t="s">
        <v>767</v>
      </c>
      <c r="K23" s="483">
        <v>10000</v>
      </c>
      <c r="L23" s="723" t="s">
        <v>19</v>
      </c>
      <c r="M23" s="519" t="s">
        <v>1308</v>
      </c>
      <c r="N23" s="530" t="s">
        <v>5</v>
      </c>
      <c r="O23" s="323" t="s">
        <v>768</v>
      </c>
      <c r="P23" s="45"/>
      <c r="Q23" s="45"/>
      <c r="R23" s="45"/>
      <c r="S23" s="45"/>
      <c r="T23" s="45"/>
      <c r="U23" s="45"/>
      <c r="V23" s="45"/>
      <c r="W23" s="45"/>
      <c r="X23" s="45"/>
      <c r="Y23" s="45"/>
      <c r="Z23" s="26">
        <f t="shared" si="2"/>
        <v>0</v>
      </c>
      <c r="AA23" s="27">
        <f t="shared" si="3"/>
        <v>-10000</v>
      </c>
      <c r="AB23" s="452"/>
    </row>
    <row r="24" spans="1:28" s="50" customFormat="1" ht="28">
      <c r="A24" s="43"/>
      <c r="B24" s="289" t="s">
        <v>513</v>
      </c>
      <c r="C24" s="323" t="s">
        <v>252</v>
      </c>
      <c r="D24" s="278" t="s">
        <v>251</v>
      </c>
      <c r="E24" s="543" t="s">
        <v>1306</v>
      </c>
      <c r="F24" s="53" t="s">
        <v>761</v>
      </c>
      <c r="G24" s="284" t="s">
        <v>760</v>
      </c>
      <c r="H24" s="186">
        <v>93.463999999999999</v>
      </c>
      <c r="I24" s="182" t="s">
        <v>753</v>
      </c>
      <c r="J24" s="183" t="s">
        <v>38</v>
      </c>
      <c r="K24" s="483">
        <v>127011</v>
      </c>
      <c r="L24" s="723" t="s">
        <v>19</v>
      </c>
      <c r="M24" s="519" t="s">
        <v>1308</v>
      </c>
      <c r="N24" s="530" t="s">
        <v>5</v>
      </c>
      <c r="O24" s="323" t="s">
        <v>421</v>
      </c>
      <c r="P24" s="48"/>
      <c r="Q24" s="48">
        <v>66688</v>
      </c>
      <c r="R24" s="48"/>
      <c r="S24" s="48">
        <f>14561+739+174+1462+154</f>
        <v>17090</v>
      </c>
      <c r="T24" s="48">
        <v>21500</v>
      </c>
      <c r="U24" s="48">
        <v>93153</v>
      </c>
      <c r="V24" s="48">
        <v>14250</v>
      </c>
      <c r="W24" s="48"/>
      <c r="X24" s="48"/>
      <c r="Y24" s="48"/>
      <c r="Z24" s="26">
        <f t="shared" si="2"/>
        <v>212681</v>
      </c>
      <c r="AA24" s="27">
        <f t="shared" si="3"/>
        <v>85670</v>
      </c>
      <c r="AB24" s="452"/>
    </row>
    <row r="25" spans="1:28" s="50" customFormat="1" ht="28">
      <c r="A25" s="43"/>
      <c r="B25" s="289" t="s">
        <v>513</v>
      </c>
      <c r="C25" s="323" t="s">
        <v>252</v>
      </c>
      <c r="D25" s="278" t="s">
        <v>251</v>
      </c>
      <c r="E25" s="543" t="s">
        <v>1306</v>
      </c>
      <c r="F25" s="53" t="s">
        <v>126</v>
      </c>
      <c r="G25" s="284" t="s">
        <v>487</v>
      </c>
      <c r="H25" s="186">
        <v>93.463999999999999</v>
      </c>
      <c r="I25" s="182" t="s">
        <v>32</v>
      </c>
      <c r="J25" s="183" t="s">
        <v>36</v>
      </c>
      <c r="K25" s="483">
        <v>126558</v>
      </c>
      <c r="L25" s="723" t="s">
        <v>19</v>
      </c>
      <c r="M25" s="519" t="s">
        <v>1308</v>
      </c>
      <c r="N25" s="530" t="s">
        <v>5</v>
      </c>
      <c r="O25" s="323" t="s">
        <v>421</v>
      </c>
      <c r="P25" s="48"/>
      <c r="Q25" s="48">
        <v>66688</v>
      </c>
      <c r="R25" s="48"/>
      <c r="S25" s="48">
        <f>14561+739+174+1462+154</f>
        <v>17090</v>
      </c>
      <c r="T25" s="48">
        <v>21500</v>
      </c>
      <c r="U25" s="48">
        <v>93153</v>
      </c>
      <c r="V25" s="48">
        <v>14250</v>
      </c>
      <c r="W25" s="48"/>
      <c r="X25" s="48"/>
      <c r="Y25" s="48"/>
      <c r="Z25" s="26">
        <f t="shared" si="2"/>
        <v>212681</v>
      </c>
      <c r="AA25" s="27">
        <f t="shared" si="3"/>
        <v>86123</v>
      </c>
      <c r="AB25" s="452"/>
    </row>
    <row r="26" spans="1:28" s="50" customFormat="1" ht="85">
      <c r="A26" s="43"/>
      <c r="B26" s="289" t="s">
        <v>513</v>
      </c>
      <c r="C26" s="323" t="s">
        <v>276</v>
      </c>
      <c r="D26" s="228" t="s">
        <v>492</v>
      </c>
      <c r="E26" s="543" t="s">
        <v>1305</v>
      </c>
      <c r="F26" s="53" t="s">
        <v>951</v>
      </c>
      <c r="G26" s="284" t="s">
        <v>431</v>
      </c>
      <c r="H26" s="186" t="s">
        <v>228</v>
      </c>
      <c r="I26" s="182" t="s">
        <v>425</v>
      </c>
      <c r="J26" s="183" t="s">
        <v>530</v>
      </c>
      <c r="K26" s="483">
        <v>105651</v>
      </c>
      <c r="L26" s="723" t="s">
        <v>19</v>
      </c>
      <c r="M26" s="519" t="s">
        <v>1308</v>
      </c>
      <c r="N26" s="530" t="s">
        <v>5</v>
      </c>
      <c r="O26" s="323" t="s">
        <v>432</v>
      </c>
      <c r="P26" s="48"/>
      <c r="Q26" s="48">
        <v>29345</v>
      </c>
      <c r="R26" s="48"/>
      <c r="S26" s="48">
        <v>7258</v>
      </c>
      <c r="T26" s="48">
        <v>43270</v>
      </c>
      <c r="U26" s="48">
        <v>18778</v>
      </c>
      <c r="V26" s="48">
        <v>7000</v>
      </c>
      <c r="W26" s="48"/>
      <c r="X26" s="48"/>
      <c r="Y26" s="48"/>
      <c r="Z26" s="26">
        <f t="shared" ref="Z26:Z30" si="6">SUM(P26:Y26)</f>
        <v>105651</v>
      </c>
      <c r="AA26" s="27">
        <f t="shared" ref="AA26:AA30" si="7">Z26-K26</f>
        <v>0</v>
      </c>
      <c r="AB26" s="452"/>
    </row>
    <row r="27" spans="1:28" s="50" customFormat="1" ht="85">
      <c r="A27" s="43"/>
      <c r="B27" s="289" t="s">
        <v>513</v>
      </c>
      <c r="C27" s="323" t="s">
        <v>276</v>
      </c>
      <c r="D27" s="134" t="s">
        <v>492</v>
      </c>
      <c r="E27" s="543" t="s">
        <v>1305</v>
      </c>
      <c r="F27" s="53" t="s">
        <v>953</v>
      </c>
      <c r="G27" s="284" t="s">
        <v>769</v>
      </c>
      <c r="H27" s="186" t="s">
        <v>228</v>
      </c>
      <c r="I27" s="182" t="s">
        <v>644</v>
      </c>
      <c r="J27" s="183" t="s">
        <v>705</v>
      </c>
      <c r="K27" s="483">
        <v>105651</v>
      </c>
      <c r="L27" s="723" t="s">
        <v>19</v>
      </c>
      <c r="M27" s="519" t="s">
        <v>1308</v>
      </c>
      <c r="N27" s="530" t="s">
        <v>5</v>
      </c>
      <c r="O27" s="323" t="s">
        <v>432</v>
      </c>
      <c r="P27" s="48"/>
      <c r="Q27" s="48">
        <v>29345</v>
      </c>
      <c r="R27" s="48"/>
      <c r="S27" s="48">
        <v>7258</v>
      </c>
      <c r="T27" s="48">
        <v>43270</v>
      </c>
      <c r="U27" s="48">
        <v>18778</v>
      </c>
      <c r="V27" s="48">
        <v>7000</v>
      </c>
      <c r="W27" s="48"/>
      <c r="X27" s="48"/>
      <c r="Y27" s="48"/>
      <c r="Z27" s="26">
        <f t="shared" si="6"/>
        <v>105651</v>
      </c>
      <c r="AA27" s="27">
        <f t="shared" si="7"/>
        <v>0</v>
      </c>
      <c r="AB27" s="452"/>
    </row>
    <row r="28" spans="1:28" s="50" customFormat="1" ht="56">
      <c r="A28" s="43"/>
      <c r="B28" s="323" t="s">
        <v>513</v>
      </c>
      <c r="C28" s="323" t="s">
        <v>484</v>
      </c>
      <c r="D28" s="278" t="s">
        <v>419</v>
      </c>
      <c r="E28" s="543" t="s">
        <v>1306</v>
      </c>
      <c r="F28" s="53" t="s">
        <v>972</v>
      </c>
      <c r="G28" s="284" t="s">
        <v>485</v>
      </c>
      <c r="H28" s="186">
        <v>93.251000000000005</v>
      </c>
      <c r="I28" s="182" t="s">
        <v>260</v>
      </c>
      <c r="J28" s="183" t="s">
        <v>261</v>
      </c>
      <c r="K28" s="483">
        <v>1506173</v>
      </c>
      <c r="L28" s="723" t="s">
        <v>19</v>
      </c>
      <c r="M28" s="519" t="s">
        <v>1308</v>
      </c>
      <c r="N28" s="531" t="s">
        <v>5</v>
      </c>
      <c r="O28" s="323" t="s">
        <v>525</v>
      </c>
      <c r="P28" s="48"/>
      <c r="Q28" s="48"/>
      <c r="R28" s="48"/>
      <c r="S28" s="48"/>
      <c r="T28" s="48"/>
      <c r="U28" s="48">
        <f>9540*2</f>
        <v>19080</v>
      </c>
      <c r="V28" s="48">
        <f>460*2</f>
        <v>920</v>
      </c>
      <c r="W28" s="48"/>
      <c r="X28" s="48"/>
      <c r="Y28" s="48"/>
      <c r="Z28" s="26">
        <f t="shared" si="6"/>
        <v>20000</v>
      </c>
      <c r="AA28" s="27">
        <f t="shared" si="7"/>
        <v>-1486173</v>
      </c>
      <c r="AB28" s="452"/>
    </row>
    <row r="29" spans="1:28" s="50" customFormat="1" ht="56">
      <c r="A29" s="43"/>
      <c r="B29" s="323" t="s">
        <v>513</v>
      </c>
      <c r="C29" s="323" t="s">
        <v>249</v>
      </c>
      <c r="D29" s="278" t="s">
        <v>250</v>
      </c>
      <c r="E29" s="543" t="s">
        <v>1306</v>
      </c>
      <c r="F29" s="53" t="s">
        <v>707</v>
      </c>
      <c r="G29" s="284" t="s">
        <v>127</v>
      </c>
      <c r="H29" s="186">
        <v>93.632000000000005</v>
      </c>
      <c r="I29" s="182" t="s">
        <v>258</v>
      </c>
      <c r="J29" s="260" t="s">
        <v>41</v>
      </c>
      <c r="K29" s="483">
        <v>2735000</v>
      </c>
      <c r="L29" s="723" t="s">
        <v>19</v>
      </c>
      <c r="M29" s="519" t="s">
        <v>1308</v>
      </c>
      <c r="N29" s="531" t="s">
        <v>5</v>
      </c>
      <c r="O29" s="323" t="s">
        <v>486</v>
      </c>
      <c r="P29" s="48"/>
      <c r="Q29" s="48"/>
      <c r="R29" s="48"/>
      <c r="S29" s="48"/>
      <c r="T29" s="48"/>
      <c r="U29" s="48"/>
      <c r="V29" s="48"/>
      <c r="W29" s="48"/>
      <c r="X29" s="48"/>
      <c r="Y29" s="48"/>
      <c r="Z29" s="26">
        <f t="shared" si="6"/>
        <v>0</v>
      </c>
      <c r="AA29" s="27">
        <f t="shared" si="7"/>
        <v>-2735000</v>
      </c>
      <c r="AB29" s="452"/>
    </row>
    <row r="30" spans="1:28" s="50" customFormat="1" ht="56">
      <c r="A30" s="43"/>
      <c r="B30" s="289" t="s">
        <v>513</v>
      </c>
      <c r="C30" s="289" t="s">
        <v>249</v>
      </c>
      <c r="D30" s="45" t="s">
        <v>250</v>
      </c>
      <c r="E30" s="542" t="s">
        <v>1306</v>
      </c>
      <c r="F30" s="46" t="s">
        <v>707</v>
      </c>
      <c r="G30" s="282" t="s">
        <v>758</v>
      </c>
      <c r="H30" s="160">
        <v>93.632000000000005</v>
      </c>
      <c r="I30" s="103" t="s">
        <v>73</v>
      </c>
      <c r="J30" s="148" t="s">
        <v>759</v>
      </c>
      <c r="K30" s="482">
        <v>2850000</v>
      </c>
      <c r="L30" s="723" t="s">
        <v>19</v>
      </c>
      <c r="M30" s="519" t="s">
        <v>1308</v>
      </c>
      <c r="N30" s="530" t="s">
        <v>5</v>
      </c>
      <c r="O30" s="289" t="s">
        <v>486</v>
      </c>
      <c r="P30" s="378"/>
      <c r="Q30" s="48">
        <v>81149</v>
      </c>
      <c r="R30" s="48"/>
      <c r="S30" s="48">
        <v>15993.81</v>
      </c>
      <c r="T30" s="48">
        <v>4000</v>
      </c>
      <c r="U30" s="48">
        <v>9861.8799999999992</v>
      </c>
      <c r="V30" s="48"/>
      <c r="W30" s="48">
        <v>4011.05</v>
      </c>
      <c r="X30" s="48">
        <v>725</v>
      </c>
      <c r="Y30" s="48">
        <v>9259.26</v>
      </c>
      <c r="Z30" s="26">
        <f t="shared" si="6"/>
        <v>125000</v>
      </c>
      <c r="AA30" s="27">
        <f t="shared" si="7"/>
        <v>-2725000</v>
      </c>
      <c r="AB30" s="453">
        <f>SUM(K4:K30)</f>
        <v>12347175</v>
      </c>
    </row>
    <row r="31" spans="1:28">
      <c r="B31" s="728"/>
      <c r="C31" s="729"/>
      <c r="D31" s="728"/>
      <c r="E31" s="730"/>
      <c r="F31" s="728"/>
      <c r="G31" s="728"/>
      <c r="H31" s="728"/>
      <c r="I31" s="728"/>
      <c r="J31" s="728"/>
      <c r="K31" s="731"/>
      <c r="L31" s="734"/>
      <c r="M31" s="677"/>
      <c r="N31" s="733"/>
      <c r="O31" s="732"/>
    </row>
    <row r="32" spans="1:28" s="63" customFormat="1" ht="84">
      <c r="A32" s="57"/>
      <c r="B32" s="287" t="s">
        <v>17</v>
      </c>
      <c r="C32" s="289" t="s">
        <v>397</v>
      </c>
      <c r="D32" s="45" t="s">
        <v>493</v>
      </c>
      <c r="E32" s="542" t="s">
        <v>1305</v>
      </c>
      <c r="F32" s="128" t="s">
        <v>443</v>
      </c>
      <c r="G32" s="286" t="s">
        <v>444</v>
      </c>
      <c r="H32" s="156"/>
      <c r="I32" s="101" t="s">
        <v>540</v>
      </c>
      <c r="J32" s="138" t="s">
        <v>36</v>
      </c>
      <c r="K32" s="448">
        <v>25000</v>
      </c>
      <c r="L32" s="723" t="s">
        <v>512</v>
      </c>
      <c r="M32" s="516" t="s">
        <v>17</v>
      </c>
      <c r="N32" s="530" t="s">
        <v>5</v>
      </c>
      <c r="O32" s="289" t="s">
        <v>514</v>
      </c>
      <c r="P32" s="376"/>
      <c r="Q32" s="62">
        <v>22566.400000000001</v>
      </c>
      <c r="R32" s="62"/>
      <c r="S32" s="62">
        <v>1508.28</v>
      </c>
      <c r="T32" s="62"/>
      <c r="U32" s="62"/>
      <c r="V32" s="62">
        <v>925.32</v>
      </c>
      <c r="W32" s="62"/>
      <c r="X32" s="62"/>
      <c r="Y32" s="62"/>
      <c r="Z32" s="26">
        <f t="shared" ref="Z32:Z33" si="8">SUM(P32:Y32)</f>
        <v>25000</v>
      </c>
      <c r="AA32" s="27">
        <f t="shared" ref="AA32:AA33" si="9">Z32-K32</f>
        <v>0</v>
      </c>
      <c r="AB32" s="452"/>
    </row>
    <row r="33" spans="1:33" s="63" customFormat="1" ht="56">
      <c r="A33" s="57"/>
      <c r="B33" s="287" t="s">
        <v>17</v>
      </c>
      <c r="C33" s="289" t="s">
        <v>406</v>
      </c>
      <c r="D33" s="45" t="s">
        <v>140</v>
      </c>
      <c r="E33" s="542" t="s">
        <v>1306</v>
      </c>
      <c r="F33" s="128" t="s">
        <v>78</v>
      </c>
      <c r="G33" s="286" t="s">
        <v>407</v>
      </c>
      <c r="H33" s="156">
        <v>16.526</v>
      </c>
      <c r="I33" s="101" t="s">
        <v>28</v>
      </c>
      <c r="J33" s="138" t="s">
        <v>350</v>
      </c>
      <c r="K33" s="448">
        <v>300000</v>
      </c>
      <c r="L33" s="723" t="s">
        <v>512</v>
      </c>
      <c r="M33" s="516" t="s">
        <v>17</v>
      </c>
      <c r="N33" s="530" t="s">
        <v>6</v>
      </c>
      <c r="O33" s="289" t="s">
        <v>499</v>
      </c>
      <c r="P33" s="727">
        <v>56241</v>
      </c>
      <c r="Q33" s="65">
        <v>160800</v>
      </c>
      <c r="R33" s="65"/>
      <c r="S33" s="65">
        <v>44296</v>
      </c>
      <c r="T33" s="65">
        <v>16600</v>
      </c>
      <c r="U33" s="65">
        <f>12000+4400+2600</f>
        <v>19000</v>
      </c>
      <c r="V33" s="65">
        <v>1520</v>
      </c>
      <c r="W33" s="65">
        <v>1543</v>
      </c>
      <c r="X33" s="65"/>
      <c r="Y33" s="65"/>
      <c r="Z33" s="26">
        <f t="shared" si="8"/>
        <v>300000</v>
      </c>
      <c r="AA33" s="27">
        <f t="shared" si="9"/>
        <v>0</v>
      </c>
      <c r="AB33" s="453">
        <f>SUM(K32:K33)</f>
        <v>325000</v>
      </c>
    </row>
    <row r="34" spans="1:33">
      <c r="B34" s="732"/>
      <c r="C34" s="734"/>
      <c r="D34" s="732"/>
      <c r="E34" s="730"/>
      <c r="F34" s="732"/>
      <c r="G34" s="732"/>
      <c r="H34" s="732"/>
      <c r="I34" s="732"/>
      <c r="J34" s="732"/>
      <c r="K34" s="735"/>
      <c r="L34" s="734"/>
      <c r="M34" s="677"/>
      <c r="N34" s="733"/>
      <c r="O34" s="732"/>
    </row>
    <row r="35" spans="1:33" s="50" customFormat="1" ht="70">
      <c r="A35" s="43"/>
      <c r="B35" s="399" t="s">
        <v>0</v>
      </c>
      <c r="C35" s="22" t="s">
        <v>862</v>
      </c>
      <c r="D35" s="22" t="s">
        <v>1038</v>
      </c>
      <c r="E35" s="546" t="s">
        <v>1305</v>
      </c>
      <c r="F35" s="21" t="s">
        <v>863</v>
      </c>
      <c r="G35" s="21" t="s">
        <v>864</v>
      </c>
      <c r="H35" s="176">
        <v>10.5</v>
      </c>
      <c r="I35" s="175">
        <v>43009</v>
      </c>
      <c r="J35" s="192">
        <v>43373</v>
      </c>
      <c r="K35" s="486">
        <v>22500</v>
      </c>
      <c r="L35" s="189" t="s">
        <v>865</v>
      </c>
      <c r="M35" s="520" t="s">
        <v>1053</v>
      </c>
      <c r="N35" s="535" t="s">
        <v>0</v>
      </c>
      <c r="O35" s="499" t="s">
        <v>866</v>
      </c>
      <c r="P35" s="379"/>
      <c r="Q35" s="68">
        <v>11100</v>
      </c>
      <c r="R35" s="68"/>
      <c r="S35" s="68">
        <v>2775</v>
      </c>
      <c r="T35" s="68">
        <f>3446</f>
        <v>3446</v>
      </c>
      <c r="U35" s="68"/>
      <c r="V35" s="68">
        <v>861</v>
      </c>
      <c r="W35" s="68"/>
      <c r="X35" s="68"/>
      <c r="Y35" s="68">
        <v>1818</v>
      </c>
      <c r="Z35" s="26">
        <f t="shared" ref="Z35:Z71" si="10">SUM(P35:Y35)</f>
        <v>20000</v>
      </c>
      <c r="AA35" s="27">
        <f t="shared" ref="AA35:AA40" si="11">Z35-K35</f>
        <v>-2500</v>
      </c>
      <c r="AB35" s="452"/>
    </row>
    <row r="36" spans="1:33" s="63" customFormat="1" ht="42">
      <c r="A36" s="69"/>
      <c r="B36" s="400" t="s">
        <v>0</v>
      </c>
      <c r="C36" s="330" t="s">
        <v>892</v>
      </c>
      <c r="D36" s="330" t="s">
        <v>1039</v>
      </c>
      <c r="E36" s="545" t="s">
        <v>1305</v>
      </c>
      <c r="F36" s="131" t="s">
        <v>893</v>
      </c>
      <c r="G36" s="131" t="s">
        <v>894</v>
      </c>
      <c r="H36" s="331" t="s">
        <v>885</v>
      </c>
      <c r="I36" s="332">
        <v>43259</v>
      </c>
      <c r="J36" s="333">
        <v>43373</v>
      </c>
      <c r="K36" s="485">
        <v>341390</v>
      </c>
      <c r="L36" s="767" t="s">
        <v>895</v>
      </c>
      <c r="M36" s="520" t="s">
        <v>1053</v>
      </c>
      <c r="N36" s="533" t="s">
        <v>0</v>
      </c>
      <c r="O36" s="497" t="s">
        <v>896</v>
      </c>
      <c r="P36" s="62"/>
      <c r="Q36" s="62">
        <v>40366</v>
      </c>
      <c r="R36" s="62"/>
      <c r="S36" s="62">
        <v>3218</v>
      </c>
      <c r="T36" s="62"/>
      <c r="U36" s="62"/>
      <c r="V36" s="62">
        <v>2173</v>
      </c>
      <c r="W36" s="62">
        <v>6347</v>
      </c>
      <c r="X36" s="62"/>
      <c r="Y36" s="62">
        <v>10950</v>
      </c>
      <c r="Z36" s="26">
        <f t="shared" si="10"/>
        <v>63054</v>
      </c>
      <c r="AA36" s="27">
        <f t="shared" si="11"/>
        <v>-278336</v>
      </c>
      <c r="AB36" s="452"/>
    </row>
    <row r="37" spans="1:33" s="63" customFormat="1" ht="34">
      <c r="A37" s="57"/>
      <c r="B37" s="342" t="s">
        <v>0</v>
      </c>
      <c r="C37" s="71" t="s">
        <v>345</v>
      </c>
      <c r="D37" s="71" t="s">
        <v>1173</v>
      </c>
      <c r="E37" s="542" t="s">
        <v>1306</v>
      </c>
      <c r="F37" s="70" t="s">
        <v>351</v>
      </c>
      <c r="G37" s="71" t="s">
        <v>346</v>
      </c>
      <c r="H37" s="393">
        <v>10.025</v>
      </c>
      <c r="I37" s="394" t="s">
        <v>347</v>
      </c>
      <c r="J37" s="395" t="s">
        <v>352</v>
      </c>
      <c r="K37" s="448">
        <v>45000</v>
      </c>
      <c r="L37" s="498" t="s">
        <v>61</v>
      </c>
      <c r="M37" s="516" t="s">
        <v>1307</v>
      </c>
      <c r="N37" s="534" t="s">
        <v>6</v>
      </c>
      <c r="O37" s="498" t="s">
        <v>353</v>
      </c>
      <c r="P37" s="62"/>
      <c r="Q37" s="62">
        <v>11200</v>
      </c>
      <c r="R37" s="62"/>
      <c r="S37" s="62">
        <v>2800</v>
      </c>
      <c r="T37" s="62">
        <v>3768</v>
      </c>
      <c r="U37" s="62"/>
      <c r="V37" s="62">
        <v>906</v>
      </c>
      <c r="W37" s="62"/>
      <c r="X37" s="62"/>
      <c r="Y37" s="62">
        <v>1867</v>
      </c>
      <c r="Z37" s="26">
        <f t="shared" si="10"/>
        <v>20541</v>
      </c>
      <c r="AA37" s="27">
        <f t="shared" si="11"/>
        <v>-24459</v>
      </c>
      <c r="AB37" s="452"/>
    </row>
    <row r="38" spans="1:33" s="63" customFormat="1" ht="28">
      <c r="A38" s="57"/>
      <c r="B38" s="342" t="s">
        <v>0</v>
      </c>
      <c r="C38" s="22" t="s">
        <v>870</v>
      </c>
      <c r="D38" s="22" t="s">
        <v>1040</v>
      </c>
      <c r="E38" s="546" t="s">
        <v>1305</v>
      </c>
      <c r="F38" s="21" t="s">
        <v>880</v>
      </c>
      <c r="G38" s="21" t="s">
        <v>881</v>
      </c>
      <c r="H38" s="176">
        <v>93.043000000000006</v>
      </c>
      <c r="I38" s="175">
        <v>43048</v>
      </c>
      <c r="J38" s="192">
        <v>43738</v>
      </c>
      <c r="K38" s="486">
        <v>49161</v>
      </c>
      <c r="L38" s="189" t="s">
        <v>840</v>
      </c>
      <c r="M38" s="520" t="s">
        <v>1053</v>
      </c>
      <c r="N38" s="535" t="s">
        <v>0</v>
      </c>
      <c r="O38" s="499" t="s">
        <v>882</v>
      </c>
      <c r="P38" s="62"/>
      <c r="Q38" s="62">
        <v>11750</v>
      </c>
      <c r="R38" s="62"/>
      <c r="S38" s="62">
        <v>2938</v>
      </c>
      <c r="T38" s="62">
        <v>108</v>
      </c>
      <c r="U38" s="62"/>
      <c r="V38" s="62">
        <v>6000</v>
      </c>
      <c r="W38" s="62"/>
      <c r="X38" s="62"/>
      <c r="Y38" s="62">
        <v>3119</v>
      </c>
      <c r="Z38" s="26">
        <f t="shared" si="10"/>
        <v>23915</v>
      </c>
      <c r="AA38" s="27">
        <f t="shared" si="11"/>
        <v>-25246</v>
      </c>
      <c r="AB38" s="452"/>
    </row>
    <row r="39" spans="1:33" s="63" customFormat="1" ht="51">
      <c r="A39" s="57"/>
      <c r="B39" s="342" t="s">
        <v>0</v>
      </c>
      <c r="C39" s="71" t="s">
        <v>854</v>
      </c>
      <c r="D39" s="71" t="s">
        <v>1014</v>
      </c>
      <c r="E39" s="542" t="s">
        <v>1306</v>
      </c>
      <c r="F39" s="70" t="s">
        <v>88</v>
      </c>
      <c r="G39" s="70" t="s">
        <v>292</v>
      </c>
      <c r="H39" s="156">
        <v>10.675000000000001</v>
      </c>
      <c r="I39" s="101" t="s">
        <v>43</v>
      </c>
      <c r="J39" s="142" t="s">
        <v>172</v>
      </c>
      <c r="K39" s="448">
        <v>105847</v>
      </c>
      <c r="L39" s="498" t="s">
        <v>8</v>
      </c>
      <c r="M39" s="516" t="s">
        <v>1307</v>
      </c>
      <c r="N39" s="534" t="s">
        <v>6</v>
      </c>
      <c r="O39" s="498" t="s">
        <v>288</v>
      </c>
      <c r="P39" s="62"/>
      <c r="Q39" s="62">
        <v>26028.85</v>
      </c>
      <c r="R39" s="62"/>
      <c r="S39" s="62">
        <v>2156.15</v>
      </c>
      <c r="T39" s="62">
        <v>33877</v>
      </c>
      <c r="U39" s="62">
        <v>345</v>
      </c>
      <c r="V39" s="62">
        <v>1700</v>
      </c>
      <c r="W39" s="62"/>
      <c r="X39" s="62"/>
      <c r="Y39" s="62"/>
      <c r="Z39" s="26">
        <f t="shared" si="10"/>
        <v>64107</v>
      </c>
      <c r="AA39" s="27">
        <f t="shared" si="11"/>
        <v>-41740</v>
      </c>
      <c r="AB39" s="452"/>
    </row>
    <row r="40" spans="1:33" s="63" customFormat="1" ht="34">
      <c r="A40" s="57"/>
      <c r="B40" s="342" t="s">
        <v>0</v>
      </c>
      <c r="C40" s="45" t="s">
        <v>72</v>
      </c>
      <c r="D40" s="45" t="s">
        <v>1017</v>
      </c>
      <c r="E40" s="542" t="s">
        <v>1306</v>
      </c>
      <c r="F40" s="102" t="s">
        <v>348</v>
      </c>
      <c r="G40" s="102" t="s">
        <v>349</v>
      </c>
      <c r="H40" s="156">
        <v>10.025</v>
      </c>
      <c r="I40" s="101" t="s">
        <v>308</v>
      </c>
      <c r="J40" s="142" t="s">
        <v>350</v>
      </c>
      <c r="K40" s="448">
        <v>20000</v>
      </c>
      <c r="L40" s="723" t="s">
        <v>61</v>
      </c>
      <c r="M40" s="516" t="s">
        <v>1307</v>
      </c>
      <c r="N40" s="530" t="s">
        <v>6</v>
      </c>
      <c r="O40" s="289" t="s">
        <v>501</v>
      </c>
      <c r="P40" s="62"/>
      <c r="Q40" s="62">
        <v>67877.14</v>
      </c>
      <c r="R40" s="62"/>
      <c r="S40" s="62">
        <v>5622.74</v>
      </c>
      <c r="T40" s="62">
        <v>126335</v>
      </c>
      <c r="U40" s="62"/>
      <c r="V40" s="62"/>
      <c r="W40" s="62"/>
      <c r="X40" s="62"/>
      <c r="Y40" s="62"/>
      <c r="Z40" s="26">
        <f t="shared" si="10"/>
        <v>199834.88</v>
      </c>
      <c r="AA40" s="27">
        <f t="shared" si="11"/>
        <v>179834.88</v>
      </c>
      <c r="AB40" s="452"/>
    </row>
    <row r="41" spans="1:33" s="63" customFormat="1" ht="34">
      <c r="A41" s="57"/>
      <c r="B41" s="342" t="s">
        <v>0</v>
      </c>
      <c r="C41" s="45" t="s">
        <v>358</v>
      </c>
      <c r="D41" s="45" t="s">
        <v>1263</v>
      </c>
      <c r="E41" s="542" t="s">
        <v>1306</v>
      </c>
      <c r="F41" s="401" t="s">
        <v>1297</v>
      </c>
      <c r="G41" s="45"/>
      <c r="H41" s="160">
        <v>10.025</v>
      </c>
      <c r="I41" s="103" t="s">
        <v>1229</v>
      </c>
      <c r="J41" s="103" t="s">
        <v>927</v>
      </c>
      <c r="K41" s="448">
        <v>23252</v>
      </c>
      <c r="L41" s="723" t="s">
        <v>61</v>
      </c>
      <c r="M41" s="516" t="s">
        <v>1307</v>
      </c>
      <c r="N41" s="530" t="s">
        <v>6</v>
      </c>
      <c r="O41" s="498" t="s">
        <v>1264</v>
      </c>
      <c r="P41" s="62"/>
      <c r="Q41" s="62">
        <v>93218.240000000005</v>
      </c>
      <c r="R41" s="62"/>
      <c r="S41" s="62">
        <v>27191.78</v>
      </c>
      <c r="T41" s="62">
        <v>3250</v>
      </c>
      <c r="U41" s="62">
        <v>56371</v>
      </c>
      <c r="V41" s="62">
        <v>16541.98</v>
      </c>
      <c r="W41" s="62">
        <v>9000</v>
      </c>
      <c r="X41" s="62"/>
      <c r="Y41" s="62">
        <v>17875</v>
      </c>
      <c r="Z41" s="26">
        <f t="shared" si="10"/>
        <v>223448.00000000003</v>
      </c>
      <c r="AA41" s="27">
        <f t="shared" ref="AA41:AA51" si="12">Z41-K42</f>
        <v>197243.00000000003</v>
      </c>
      <c r="AB41" s="452"/>
    </row>
    <row r="42" spans="1:33" s="63" customFormat="1" ht="34">
      <c r="A42" s="57"/>
      <c r="B42" s="342" t="s">
        <v>0</v>
      </c>
      <c r="C42" s="71" t="s">
        <v>1227</v>
      </c>
      <c r="D42" s="341" t="s">
        <v>1284</v>
      </c>
      <c r="E42" s="547" t="s">
        <v>1306</v>
      </c>
      <c r="F42" s="70" t="s">
        <v>171</v>
      </c>
      <c r="G42" s="70" t="s">
        <v>367</v>
      </c>
      <c r="H42" s="156">
        <v>10.025</v>
      </c>
      <c r="I42" s="101" t="s">
        <v>60</v>
      </c>
      <c r="J42" s="142" t="s">
        <v>37</v>
      </c>
      <c r="K42" s="448">
        <v>26205</v>
      </c>
      <c r="L42" s="498" t="s">
        <v>61</v>
      </c>
      <c r="M42" s="516" t="s">
        <v>1307</v>
      </c>
      <c r="N42" s="534" t="s">
        <v>6</v>
      </c>
      <c r="O42" s="498" t="s">
        <v>368</v>
      </c>
      <c r="P42" s="62"/>
      <c r="Q42" s="62">
        <v>7500</v>
      </c>
      <c r="R42" s="62"/>
      <c r="S42" s="62">
        <v>1875</v>
      </c>
      <c r="T42" s="62">
        <v>575</v>
      </c>
      <c r="U42" s="62"/>
      <c r="V42" s="62">
        <v>1480</v>
      </c>
      <c r="W42" s="62"/>
      <c r="X42" s="62">
        <v>300</v>
      </c>
      <c r="Y42" s="62">
        <v>2070</v>
      </c>
      <c r="Z42" s="26">
        <f t="shared" si="10"/>
        <v>13800</v>
      </c>
      <c r="AA42" s="27">
        <f t="shared" si="12"/>
        <v>-105875</v>
      </c>
      <c r="AB42" s="452"/>
    </row>
    <row r="43" spans="1:33" s="63" customFormat="1">
      <c r="A43" s="57"/>
      <c r="B43" s="342" t="s">
        <v>0</v>
      </c>
      <c r="C43" s="22" t="s">
        <v>598</v>
      </c>
      <c r="D43" s="22" t="s">
        <v>785</v>
      </c>
      <c r="E43" s="546" t="s">
        <v>1305</v>
      </c>
      <c r="F43" s="22"/>
      <c r="G43" s="21" t="s">
        <v>786</v>
      </c>
      <c r="H43" s="176">
        <v>10.321999999999999</v>
      </c>
      <c r="I43" s="175">
        <v>42248</v>
      </c>
      <c r="J43" s="192">
        <v>43343</v>
      </c>
      <c r="K43" s="486">
        <v>119675</v>
      </c>
      <c r="L43" s="189" t="s">
        <v>787</v>
      </c>
      <c r="M43" s="520" t="s">
        <v>1052</v>
      </c>
      <c r="N43" s="535"/>
      <c r="O43" s="189" t="s">
        <v>788</v>
      </c>
      <c r="P43" s="62"/>
      <c r="Q43" s="62">
        <v>12000</v>
      </c>
      <c r="R43" s="62"/>
      <c r="S43" s="62">
        <v>3000</v>
      </c>
      <c r="T43" s="62">
        <v>2283</v>
      </c>
      <c r="U43" s="62"/>
      <c r="V43" s="62">
        <v>3672</v>
      </c>
      <c r="W43" s="62"/>
      <c r="X43" s="62"/>
      <c r="Y43" s="62">
        <v>2095</v>
      </c>
      <c r="Z43" s="26">
        <f t="shared" si="10"/>
        <v>23050</v>
      </c>
      <c r="AA43" s="27">
        <f t="shared" si="12"/>
        <v>-106950</v>
      </c>
      <c r="AB43" s="452"/>
    </row>
    <row r="44" spans="1:33" s="63" customFormat="1">
      <c r="A44" s="57"/>
      <c r="B44" s="342" t="s">
        <v>0</v>
      </c>
      <c r="C44" s="22" t="s">
        <v>598</v>
      </c>
      <c r="D44" s="84" t="s">
        <v>789</v>
      </c>
      <c r="E44" s="546" t="s">
        <v>1305</v>
      </c>
      <c r="F44" s="21" t="s">
        <v>1013</v>
      </c>
      <c r="G44" s="21" t="s">
        <v>279</v>
      </c>
      <c r="H44" s="176">
        <v>10.308</v>
      </c>
      <c r="I44" s="175">
        <v>42614</v>
      </c>
      <c r="J44" s="192">
        <v>43708</v>
      </c>
      <c r="K44" s="486">
        <v>130000</v>
      </c>
      <c r="L44" s="189" t="s">
        <v>10</v>
      </c>
      <c r="M44" s="520" t="s">
        <v>1052</v>
      </c>
      <c r="N44" s="535" t="s">
        <v>0</v>
      </c>
      <c r="O44" s="189" t="s">
        <v>428</v>
      </c>
      <c r="P44" s="62"/>
      <c r="Q44" s="62">
        <v>12000</v>
      </c>
      <c r="R44" s="62"/>
      <c r="S44" s="62">
        <v>3000</v>
      </c>
      <c r="T44" s="62">
        <f>3498+540</f>
        <v>4038</v>
      </c>
      <c r="U44" s="62"/>
      <c r="V44" s="62">
        <v>1035</v>
      </c>
      <c r="W44" s="62"/>
      <c r="X44" s="62"/>
      <c r="Y44" s="62">
        <v>2007</v>
      </c>
      <c r="Z44" s="26">
        <f t="shared" si="10"/>
        <v>22080</v>
      </c>
      <c r="AA44" s="27">
        <f t="shared" si="12"/>
        <v>-127920</v>
      </c>
      <c r="AB44" s="452"/>
    </row>
    <row r="45" spans="1:33" s="63" customFormat="1">
      <c r="A45" s="57"/>
      <c r="B45" s="342" t="s">
        <v>0</v>
      </c>
      <c r="C45" s="22" t="s">
        <v>598</v>
      </c>
      <c r="D45" s="84" t="s">
        <v>789</v>
      </c>
      <c r="E45" s="546" t="s">
        <v>1305</v>
      </c>
      <c r="F45" s="21" t="s">
        <v>959</v>
      </c>
      <c r="G45" s="21" t="s">
        <v>280</v>
      </c>
      <c r="H45" s="176">
        <v>10.308</v>
      </c>
      <c r="I45" s="175">
        <v>42614</v>
      </c>
      <c r="J45" s="192">
        <v>43708</v>
      </c>
      <c r="K45" s="486">
        <v>150000</v>
      </c>
      <c r="L45" s="189" t="s">
        <v>10</v>
      </c>
      <c r="M45" s="520" t="s">
        <v>1052</v>
      </c>
      <c r="N45" s="535" t="s">
        <v>0</v>
      </c>
      <c r="O45" s="189" t="s">
        <v>790</v>
      </c>
      <c r="P45" s="62"/>
      <c r="Q45" s="62">
        <f>90400+8000+14898</f>
        <v>113298</v>
      </c>
      <c r="R45" s="62"/>
      <c r="S45" s="62">
        <f>22600+2000-2795</f>
        <v>21805</v>
      </c>
      <c r="T45" s="62">
        <f>9240+560+5230+3514</f>
        <v>18544</v>
      </c>
      <c r="U45" s="62"/>
      <c r="V45" s="62">
        <f>12334+11483+4355</f>
        <v>28172</v>
      </c>
      <c r="W45" s="62"/>
      <c r="X45" s="62"/>
      <c r="Y45" s="62">
        <f>13637+2727+1817</f>
        <v>18181</v>
      </c>
      <c r="Z45" s="26">
        <f t="shared" si="10"/>
        <v>200000</v>
      </c>
      <c r="AA45" s="27">
        <f t="shared" si="12"/>
        <v>40000</v>
      </c>
      <c r="AB45" s="452"/>
    </row>
    <row r="46" spans="1:33" s="63" customFormat="1" ht="42">
      <c r="A46" s="57"/>
      <c r="B46" s="342" t="s">
        <v>0</v>
      </c>
      <c r="C46" s="22" t="s">
        <v>854</v>
      </c>
      <c r="D46" s="22" t="s">
        <v>859</v>
      </c>
      <c r="E46" s="546" t="s">
        <v>1305</v>
      </c>
      <c r="F46" s="21" t="s">
        <v>855</v>
      </c>
      <c r="G46" s="21" t="s">
        <v>856</v>
      </c>
      <c r="H46" s="176">
        <v>10.68</v>
      </c>
      <c r="I46" s="175">
        <v>41122</v>
      </c>
      <c r="J46" s="192">
        <v>42947</v>
      </c>
      <c r="K46" s="486">
        <v>160000</v>
      </c>
      <c r="L46" s="189" t="s">
        <v>857</v>
      </c>
      <c r="M46" s="520" t="s">
        <v>1053</v>
      </c>
      <c r="N46" s="535" t="s">
        <v>0</v>
      </c>
      <c r="O46" s="499" t="s">
        <v>858</v>
      </c>
      <c r="P46" s="62"/>
      <c r="Q46" s="62">
        <v>15000</v>
      </c>
      <c r="R46" s="62"/>
      <c r="S46" s="62">
        <v>3750</v>
      </c>
      <c r="T46" s="62">
        <v>4073</v>
      </c>
      <c r="U46" s="62"/>
      <c r="V46" s="62">
        <v>1000</v>
      </c>
      <c r="W46" s="62"/>
      <c r="X46" s="62"/>
      <c r="Y46" s="62">
        <v>2382</v>
      </c>
      <c r="Z46" s="26">
        <f t="shared" si="10"/>
        <v>26205</v>
      </c>
      <c r="AA46" s="27">
        <f t="shared" si="12"/>
        <v>1205</v>
      </c>
      <c r="AB46" s="452"/>
    </row>
    <row r="47" spans="1:33" s="63" customFormat="1">
      <c r="A47" s="57"/>
      <c r="B47" s="342" t="s">
        <v>0</v>
      </c>
      <c r="C47" s="22" t="s">
        <v>854</v>
      </c>
      <c r="D47" s="22" t="s">
        <v>859</v>
      </c>
      <c r="E47" s="546" t="s">
        <v>1305</v>
      </c>
      <c r="F47" s="21" t="s">
        <v>860</v>
      </c>
      <c r="G47" s="21" t="s">
        <v>861</v>
      </c>
      <c r="H47" s="176">
        <v>10.68</v>
      </c>
      <c r="I47" s="175">
        <v>42948</v>
      </c>
      <c r="J47" s="192">
        <v>43312</v>
      </c>
      <c r="K47" s="486">
        <v>25000</v>
      </c>
      <c r="L47" s="189" t="s">
        <v>857</v>
      </c>
      <c r="M47" s="520" t="s">
        <v>1309</v>
      </c>
      <c r="N47" s="535" t="s">
        <v>0</v>
      </c>
      <c r="O47" s="500" t="s">
        <v>772</v>
      </c>
      <c r="P47" s="62">
        <v>8500</v>
      </c>
      <c r="Q47" s="62"/>
      <c r="R47" s="62"/>
      <c r="S47" s="62"/>
      <c r="T47" s="62">
        <v>26559</v>
      </c>
      <c r="U47" s="62"/>
      <c r="V47" s="62">
        <v>5441</v>
      </c>
      <c r="W47" s="62"/>
      <c r="X47" s="62"/>
      <c r="Y47" s="62">
        <v>4500</v>
      </c>
      <c r="Z47" s="26">
        <f t="shared" si="10"/>
        <v>45000</v>
      </c>
      <c r="AA47" s="27">
        <f t="shared" si="12"/>
        <v>21085</v>
      </c>
      <c r="AB47" s="452"/>
    </row>
    <row r="48" spans="1:33" s="63" customFormat="1" ht="42">
      <c r="A48" s="57"/>
      <c r="B48" s="342" t="s">
        <v>0</v>
      </c>
      <c r="C48" s="71" t="s">
        <v>345</v>
      </c>
      <c r="D48" s="71" t="s">
        <v>372</v>
      </c>
      <c r="E48" s="542" t="s">
        <v>1306</v>
      </c>
      <c r="F48" s="70" t="s">
        <v>167</v>
      </c>
      <c r="G48" s="70" t="s">
        <v>373</v>
      </c>
      <c r="H48" s="156">
        <v>10.025</v>
      </c>
      <c r="I48" s="101" t="s">
        <v>89</v>
      </c>
      <c r="J48" s="174" t="s">
        <v>119</v>
      </c>
      <c r="K48" s="448">
        <v>23915</v>
      </c>
      <c r="L48" s="498" t="s">
        <v>179</v>
      </c>
      <c r="M48" s="516" t="s">
        <v>1307</v>
      </c>
      <c r="N48" s="534" t="s">
        <v>6</v>
      </c>
      <c r="O48" s="498" t="s">
        <v>374</v>
      </c>
      <c r="P48" s="62"/>
      <c r="Q48" s="62">
        <v>54000</v>
      </c>
      <c r="R48" s="62"/>
      <c r="S48" s="62">
        <v>13090</v>
      </c>
      <c r="T48" s="62">
        <v>4734.5</v>
      </c>
      <c r="U48" s="62">
        <v>98000</v>
      </c>
      <c r="V48" s="62">
        <v>26044.33</v>
      </c>
      <c r="W48" s="62"/>
      <c r="X48" s="62"/>
      <c r="Y48" s="62">
        <v>17032.07</v>
      </c>
      <c r="Z48" s="26">
        <f t="shared" si="10"/>
        <v>212900.90000000002</v>
      </c>
      <c r="AA48" s="27">
        <f t="shared" si="12"/>
        <v>24400.900000000023</v>
      </c>
      <c r="AB48" s="454"/>
      <c r="AC48" s="74"/>
      <c r="AD48" s="74"/>
      <c r="AE48" s="74"/>
      <c r="AF48" s="74"/>
      <c r="AG48" s="74"/>
    </row>
    <row r="49" spans="1:33" s="63" customFormat="1">
      <c r="A49" s="57"/>
      <c r="B49" s="342" t="s">
        <v>0</v>
      </c>
      <c r="C49" s="22" t="s">
        <v>1018</v>
      </c>
      <c r="D49" s="22" t="s">
        <v>887</v>
      </c>
      <c r="E49" s="546" t="s">
        <v>1305</v>
      </c>
      <c r="F49" s="21" t="s">
        <v>888</v>
      </c>
      <c r="G49" s="21" t="s">
        <v>889</v>
      </c>
      <c r="H49" s="176" t="s">
        <v>885</v>
      </c>
      <c r="I49" s="175">
        <v>43291</v>
      </c>
      <c r="J49" s="192">
        <v>43464</v>
      </c>
      <c r="K49" s="486">
        <v>188500</v>
      </c>
      <c r="L49" s="189" t="s">
        <v>890</v>
      </c>
      <c r="M49" s="520" t="s">
        <v>1053</v>
      </c>
      <c r="N49" s="535" t="s">
        <v>0</v>
      </c>
      <c r="O49" s="501" t="s">
        <v>891</v>
      </c>
      <c r="P49" s="62"/>
      <c r="Q49" s="62">
        <v>6240</v>
      </c>
      <c r="R49" s="62">
        <v>477.36</v>
      </c>
      <c r="S49" s="62"/>
      <c r="T49" s="62"/>
      <c r="U49" s="62"/>
      <c r="V49" s="62">
        <v>2282.64</v>
      </c>
      <c r="W49" s="62"/>
      <c r="X49" s="62">
        <v>900</v>
      </c>
      <c r="Y49" s="62"/>
      <c r="Z49" s="26">
        <f t="shared" si="10"/>
        <v>9900</v>
      </c>
      <c r="AA49" s="27">
        <f t="shared" si="12"/>
        <v>-13150</v>
      </c>
      <c r="AB49" s="454"/>
      <c r="AC49" s="74"/>
      <c r="AD49" s="74"/>
      <c r="AE49" s="74"/>
      <c r="AF49" s="74"/>
      <c r="AG49" s="74"/>
    </row>
    <row r="50" spans="1:33" s="63" customFormat="1" ht="51">
      <c r="A50" s="57"/>
      <c r="B50" s="342" t="s">
        <v>0</v>
      </c>
      <c r="C50" s="107" t="s">
        <v>358</v>
      </c>
      <c r="D50" s="71" t="s">
        <v>1233</v>
      </c>
      <c r="E50" s="542" t="s">
        <v>1306</v>
      </c>
      <c r="F50" s="73" t="s">
        <v>1236</v>
      </c>
      <c r="G50" s="73" t="s">
        <v>355</v>
      </c>
      <c r="H50" s="156">
        <v>10.025</v>
      </c>
      <c r="I50" s="101" t="s">
        <v>1229</v>
      </c>
      <c r="J50" s="142" t="s">
        <v>927</v>
      </c>
      <c r="K50" s="448">
        <v>23050</v>
      </c>
      <c r="L50" s="498" t="s">
        <v>61</v>
      </c>
      <c r="M50" s="519" t="s">
        <v>1230</v>
      </c>
      <c r="N50" s="534" t="s">
        <v>6</v>
      </c>
      <c r="O50" s="498" t="s">
        <v>357</v>
      </c>
      <c r="P50" s="62"/>
      <c r="Q50" s="62">
        <v>9000</v>
      </c>
      <c r="R50" s="62"/>
      <c r="S50" s="62">
        <v>675</v>
      </c>
      <c r="T50" s="62">
        <v>3520</v>
      </c>
      <c r="U50" s="62">
        <f>757</f>
        <v>757</v>
      </c>
      <c r="V50" s="62">
        <v>3230</v>
      </c>
      <c r="W50" s="62"/>
      <c r="X50" s="62">
        <v>1000</v>
      </c>
      <c r="Y50" s="62">
        <v>1818</v>
      </c>
      <c r="Z50" s="26">
        <f t="shared" si="10"/>
        <v>20000</v>
      </c>
      <c r="AA50" s="27">
        <f t="shared" si="12"/>
        <v>-541</v>
      </c>
      <c r="AB50" s="452"/>
    </row>
    <row r="51" spans="1:33" s="63" customFormat="1" ht="51">
      <c r="A51" s="57"/>
      <c r="B51" s="342" t="s">
        <v>0</v>
      </c>
      <c r="C51" s="71" t="s">
        <v>358</v>
      </c>
      <c r="D51" s="71" t="s">
        <v>1228</v>
      </c>
      <c r="E51" s="542" t="s">
        <v>1306</v>
      </c>
      <c r="F51" s="70" t="s">
        <v>1237</v>
      </c>
      <c r="G51" s="70" t="s">
        <v>359</v>
      </c>
      <c r="H51" s="156">
        <v>10.025</v>
      </c>
      <c r="I51" s="101" t="s">
        <v>1229</v>
      </c>
      <c r="J51" s="142" t="s">
        <v>927</v>
      </c>
      <c r="K51" s="448">
        <v>20541</v>
      </c>
      <c r="L51" s="498" t="s">
        <v>61</v>
      </c>
      <c r="M51" s="516" t="s">
        <v>1230</v>
      </c>
      <c r="N51" s="534" t="s">
        <v>6</v>
      </c>
      <c r="O51" s="498" t="s">
        <v>360</v>
      </c>
      <c r="P51" s="62"/>
      <c r="Q51" s="62">
        <v>75000</v>
      </c>
      <c r="R51" s="62"/>
      <c r="S51" s="62">
        <v>11000</v>
      </c>
      <c r="T51" s="62"/>
      <c r="U51" s="62">
        <v>3000</v>
      </c>
      <c r="V51" s="62">
        <v>7290</v>
      </c>
      <c r="W51" s="62">
        <v>65000</v>
      </c>
      <c r="X51" s="62"/>
      <c r="Y51" s="62">
        <v>38710</v>
      </c>
      <c r="Z51" s="26">
        <f t="shared" si="10"/>
        <v>200000</v>
      </c>
      <c r="AA51" s="27">
        <f t="shared" si="12"/>
        <v>177920</v>
      </c>
      <c r="AB51" s="452"/>
    </row>
    <row r="52" spans="1:33" s="63" customFormat="1" ht="51">
      <c r="A52" s="57"/>
      <c r="B52" s="342" t="s">
        <v>0</v>
      </c>
      <c r="C52" s="107" t="s">
        <v>358</v>
      </c>
      <c r="D52" s="71" t="s">
        <v>1231</v>
      </c>
      <c r="E52" s="542" t="s">
        <v>1306</v>
      </c>
      <c r="F52" s="73" t="s">
        <v>1238</v>
      </c>
      <c r="G52" s="73" t="s">
        <v>354</v>
      </c>
      <c r="H52" s="156">
        <v>10.025</v>
      </c>
      <c r="I52" s="101" t="s">
        <v>1232</v>
      </c>
      <c r="J52" s="142" t="s">
        <v>729</v>
      </c>
      <c r="K52" s="448">
        <v>22080</v>
      </c>
      <c r="L52" s="498" t="s">
        <v>61</v>
      </c>
      <c r="M52" s="519" t="s">
        <v>1230</v>
      </c>
      <c r="N52" s="534" t="s">
        <v>6</v>
      </c>
      <c r="O52" s="498" t="s">
        <v>503</v>
      </c>
      <c r="P52" s="62"/>
      <c r="Q52" s="62"/>
      <c r="R52" s="62"/>
      <c r="S52" s="62"/>
      <c r="T52" s="62"/>
      <c r="U52" s="62"/>
      <c r="V52" s="62"/>
      <c r="W52" s="62"/>
      <c r="X52" s="62"/>
      <c r="Y52" s="62"/>
      <c r="Z52" s="26"/>
      <c r="AA52" s="27"/>
      <c r="AB52" s="452"/>
    </row>
    <row r="53" spans="1:33" s="63" customFormat="1">
      <c r="A53" s="57"/>
      <c r="B53" s="342" t="s">
        <v>0</v>
      </c>
      <c r="C53" s="251" t="s">
        <v>13</v>
      </c>
      <c r="D53" s="251" t="s">
        <v>662</v>
      </c>
      <c r="E53" s="542" t="s">
        <v>1306</v>
      </c>
      <c r="F53" s="252" t="s">
        <v>663</v>
      </c>
      <c r="G53" s="252"/>
      <c r="H53" s="253">
        <v>10.025</v>
      </c>
      <c r="I53" s="254">
        <v>42948</v>
      </c>
      <c r="J53" s="272">
        <v>43708</v>
      </c>
      <c r="K53" s="487">
        <v>200000</v>
      </c>
      <c r="L53" s="768" t="s">
        <v>666</v>
      </c>
      <c r="M53" s="521" t="s">
        <v>0</v>
      </c>
      <c r="N53" s="536" t="s">
        <v>6</v>
      </c>
      <c r="O53" s="502"/>
      <c r="P53" s="62"/>
      <c r="Q53" s="62"/>
      <c r="R53" s="62"/>
      <c r="S53" s="62"/>
      <c r="T53" s="62"/>
      <c r="U53" s="62"/>
      <c r="V53" s="62"/>
      <c r="W53" s="62"/>
      <c r="X53" s="62"/>
      <c r="Y53" s="62"/>
      <c r="Z53" s="26"/>
      <c r="AA53" s="27"/>
      <c r="AB53" s="452"/>
    </row>
    <row r="54" spans="1:33" s="63" customFormat="1" ht="56">
      <c r="A54" s="57"/>
      <c r="B54" s="342" t="s">
        <v>0</v>
      </c>
      <c r="C54" s="251" t="s">
        <v>854</v>
      </c>
      <c r="D54" s="251" t="s">
        <v>791</v>
      </c>
      <c r="E54" s="542" t="s">
        <v>1305</v>
      </c>
      <c r="F54" s="252" t="s">
        <v>955</v>
      </c>
      <c r="G54" s="252" t="s">
        <v>285</v>
      </c>
      <c r="H54" s="253">
        <v>10.68</v>
      </c>
      <c r="I54" s="254">
        <v>41472</v>
      </c>
      <c r="J54" s="272">
        <v>43271</v>
      </c>
      <c r="K54" s="487">
        <v>90000</v>
      </c>
      <c r="L54" s="502" t="s">
        <v>792</v>
      </c>
      <c r="M54" s="521" t="s">
        <v>1053</v>
      </c>
      <c r="N54" s="536" t="s">
        <v>0</v>
      </c>
      <c r="O54" s="502" t="s">
        <v>793</v>
      </c>
      <c r="P54" s="62"/>
      <c r="Q54" s="62"/>
      <c r="R54" s="62"/>
      <c r="S54" s="62"/>
      <c r="T54" s="62"/>
      <c r="U54" s="62"/>
      <c r="V54" s="62"/>
      <c r="W54" s="62"/>
      <c r="X54" s="62"/>
      <c r="Y54" s="62"/>
      <c r="Z54" s="26"/>
      <c r="AA54" s="27"/>
      <c r="AB54" s="452"/>
    </row>
    <row r="55" spans="1:33" s="63" customFormat="1" ht="51">
      <c r="A55" s="57"/>
      <c r="B55" s="342" t="s">
        <v>0</v>
      </c>
      <c r="C55" s="22" t="s">
        <v>598</v>
      </c>
      <c r="D55" s="22" t="s">
        <v>627</v>
      </c>
      <c r="E55" s="542" t="s">
        <v>1305</v>
      </c>
      <c r="F55" s="596"/>
      <c r="G55" s="21" t="s">
        <v>628</v>
      </c>
      <c r="H55" s="176">
        <v>10.321999999999999</v>
      </c>
      <c r="I55" s="175">
        <v>42979</v>
      </c>
      <c r="J55" s="192">
        <v>43708</v>
      </c>
      <c r="K55" s="486">
        <v>168653</v>
      </c>
      <c r="L55" s="672" t="s">
        <v>95</v>
      </c>
      <c r="M55" s="516" t="s">
        <v>1307</v>
      </c>
      <c r="N55" s="535" t="s">
        <v>6</v>
      </c>
      <c r="O55" s="189" t="s">
        <v>897</v>
      </c>
      <c r="P55" s="62"/>
      <c r="Q55" s="62"/>
      <c r="R55" s="62"/>
      <c r="S55" s="62"/>
      <c r="T55" s="62"/>
      <c r="U55" s="62"/>
      <c r="V55" s="62"/>
      <c r="W55" s="62"/>
      <c r="X55" s="62"/>
      <c r="Y55" s="62"/>
      <c r="Z55" s="26"/>
      <c r="AA55" s="27"/>
      <c r="AB55" s="452"/>
    </row>
    <row r="56" spans="1:33" s="63" customFormat="1" ht="51">
      <c r="A56" s="57"/>
      <c r="B56" s="342" t="s">
        <v>0</v>
      </c>
      <c r="C56" s="425" t="s">
        <v>1242</v>
      </c>
      <c r="D56" s="425" t="s">
        <v>1243</v>
      </c>
      <c r="E56" s="542" t="s">
        <v>1305</v>
      </c>
      <c r="F56" s="446" t="s">
        <v>1298</v>
      </c>
      <c r="G56" s="425" t="s">
        <v>1244</v>
      </c>
      <c r="H56" s="427">
        <v>10.17</v>
      </c>
      <c r="I56" s="428" t="s">
        <v>1245</v>
      </c>
      <c r="J56" s="428" t="s">
        <v>1246</v>
      </c>
      <c r="K56" s="488">
        <v>203840.63</v>
      </c>
      <c r="L56" s="517" t="s">
        <v>1247</v>
      </c>
      <c r="M56" s="516" t="s">
        <v>1307</v>
      </c>
      <c r="N56" s="537" t="s">
        <v>6</v>
      </c>
      <c r="O56" s="503" t="s">
        <v>1248</v>
      </c>
      <c r="P56" s="62"/>
      <c r="Q56" s="62"/>
      <c r="R56" s="62"/>
      <c r="S56" s="62"/>
      <c r="T56" s="62"/>
      <c r="U56" s="62"/>
      <c r="V56" s="62"/>
      <c r="W56" s="62"/>
      <c r="X56" s="62"/>
      <c r="Y56" s="62"/>
      <c r="Z56" s="26"/>
      <c r="AA56" s="27"/>
      <c r="AB56" s="452"/>
    </row>
    <row r="57" spans="1:33" s="63" customFormat="1" ht="51">
      <c r="A57" s="57"/>
      <c r="B57" s="342" t="s">
        <v>0</v>
      </c>
      <c r="C57" s="71" t="s">
        <v>1002</v>
      </c>
      <c r="D57" s="71" t="s">
        <v>322</v>
      </c>
      <c r="E57" s="542" t="s">
        <v>1305</v>
      </c>
      <c r="F57" s="70" t="s">
        <v>103</v>
      </c>
      <c r="G57" s="70" t="s">
        <v>323</v>
      </c>
      <c r="H57" s="156">
        <v>10.17</v>
      </c>
      <c r="I57" s="101" t="s">
        <v>324</v>
      </c>
      <c r="J57" s="174" t="s">
        <v>58</v>
      </c>
      <c r="K57" s="448">
        <v>223448</v>
      </c>
      <c r="L57" s="498" t="s">
        <v>429</v>
      </c>
      <c r="M57" s="516" t="s">
        <v>1307</v>
      </c>
      <c r="N57" s="534" t="s">
        <v>6</v>
      </c>
      <c r="O57" s="498" t="s">
        <v>502</v>
      </c>
      <c r="P57" s="62"/>
      <c r="Q57" s="62"/>
      <c r="R57" s="62"/>
      <c r="S57" s="62"/>
      <c r="T57" s="62"/>
      <c r="U57" s="62"/>
      <c r="V57" s="62"/>
      <c r="W57" s="62"/>
      <c r="X57" s="62"/>
      <c r="Y57" s="62"/>
      <c r="Z57" s="26"/>
      <c r="AA57" s="27"/>
      <c r="AB57" s="452"/>
    </row>
    <row r="58" spans="1:33" s="63" customFormat="1" ht="42">
      <c r="A58" s="57"/>
      <c r="B58" s="342" t="s">
        <v>0</v>
      </c>
      <c r="C58" s="22" t="s">
        <v>598</v>
      </c>
      <c r="D58" s="22" t="s">
        <v>1021</v>
      </c>
      <c r="E58" s="542" t="s">
        <v>1305</v>
      </c>
      <c r="F58" s="21" t="s">
        <v>954</v>
      </c>
      <c r="G58" s="21" t="s">
        <v>282</v>
      </c>
      <c r="H58" s="176">
        <v>10.5</v>
      </c>
      <c r="I58" s="175">
        <v>41913</v>
      </c>
      <c r="J58" s="192">
        <v>43738</v>
      </c>
      <c r="K58" s="486">
        <v>103831</v>
      </c>
      <c r="L58" s="189" t="s">
        <v>393</v>
      </c>
      <c r="M58" s="520" t="s">
        <v>1053</v>
      </c>
      <c r="N58" s="535" t="s">
        <v>0</v>
      </c>
      <c r="O58" s="189" t="s">
        <v>1012</v>
      </c>
      <c r="P58" s="62"/>
      <c r="Q58" s="62"/>
      <c r="R58" s="62"/>
      <c r="S58" s="62"/>
      <c r="T58" s="62"/>
      <c r="U58" s="62"/>
      <c r="V58" s="62"/>
      <c r="W58" s="62"/>
      <c r="X58" s="62"/>
      <c r="Y58" s="62"/>
      <c r="Z58" s="26"/>
      <c r="AA58" s="27"/>
      <c r="AB58" s="452"/>
    </row>
    <row r="59" spans="1:33" s="63" customFormat="1">
      <c r="A59" s="57"/>
      <c r="B59" s="342" t="s">
        <v>0</v>
      </c>
      <c r="C59" s="22" t="s">
        <v>598</v>
      </c>
      <c r="D59" s="22" t="s">
        <v>1022</v>
      </c>
      <c r="E59" s="542" t="s">
        <v>1305</v>
      </c>
      <c r="F59" s="21" t="s">
        <v>957</v>
      </c>
      <c r="G59" s="21" t="s">
        <v>283</v>
      </c>
      <c r="H59" s="176">
        <v>10.5</v>
      </c>
      <c r="I59" s="175">
        <v>42278</v>
      </c>
      <c r="J59" s="192">
        <v>44104</v>
      </c>
      <c r="K59" s="486">
        <v>103757</v>
      </c>
      <c r="L59" s="189" t="s">
        <v>840</v>
      </c>
      <c r="M59" s="520" t="s">
        <v>1053</v>
      </c>
      <c r="N59" s="535" t="s">
        <v>0</v>
      </c>
      <c r="O59" s="504" t="s">
        <v>772</v>
      </c>
      <c r="P59" s="62"/>
      <c r="Q59" s="62"/>
      <c r="R59" s="62"/>
      <c r="S59" s="62"/>
      <c r="T59" s="62"/>
      <c r="U59" s="62"/>
      <c r="V59" s="62"/>
      <c r="W59" s="62"/>
      <c r="X59" s="62"/>
      <c r="Y59" s="62"/>
      <c r="Z59" s="26"/>
      <c r="AA59" s="27"/>
      <c r="AB59" s="452"/>
    </row>
    <row r="60" spans="1:33" s="63" customFormat="1">
      <c r="A60" s="57"/>
      <c r="B60" s="342" t="s">
        <v>0</v>
      </c>
      <c r="C60" s="22" t="s">
        <v>598</v>
      </c>
      <c r="D60" s="22" t="s">
        <v>1023</v>
      </c>
      <c r="E60" s="542" t="s">
        <v>1305</v>
      </c>
      <c r="F60" s="21" t="s">
        <v>957</v>
      </c>
      <c r="G60" s="21" t="s">
        <v>284</v>
      </c>
      <c r="H60" s="176">
        <v>10.5</v>
      </c>
      <c r="I60" s="175">
        <v>42644</v>
      </c>
      <c r="J60" s="192">
        <v>44469</v>
      </c>
      <c r="K60" s="486">
        <v>18676</v>
      </c>
      <c r="L60" s="189" t="s">
        <v>840</v>
      </c>
      <c r="M60" s="520" t="s">
        <v>1053</v>
      </c>
      <c r="N60" s="535" t="s">
        <v>0</v>
      </c>
      <c r="O60" s="504" t="s">
        <v>772</v>
      </c>
      <c r="P60" s="62"/>
      <c r="Q60" s="62"/>
      <c r="R60" s="62"/>
      <c r="S60" s="62"/>
      <c r="T60" s="62"/>
      <c r="U60" s="62"/>
      <c r="V60" s="62"/>
      <c r="W60" s="62"/>
      <c r="X60" s="62"/>
      <c r="Y60" s="62"/>
      <c r="Z60" s="26"/>
      <c r="AA60" s="27"/>
      <c r="AB60" s="452"/>
    </row>
    <row r="61" spans="1:33" s="63" customFormat="1">
      <c r="A61" s="57"/>
      <c r="B61" s="342" t="s">
        <v>0</v>
      </c>
      <c r="C61" s="22" t="s">
        <v>598</v>
      </c>
      <c r="D61" s="22" t="s">
        <v>1024</v>
      </c>
      <c r="E61" s="542" t="s">
        <v>1305</v>
      </c>
      <c r="F61" s="21" t="s">
        <v>957</v>
      </c>
      <c r="G61" s="21" t="s">
        <v>841</v>
      </c>
      <c r="H61" s="176">
        <v>10.5</v>
      </c>
      <c r="I61" s="175">
        <v>43009</v>
      </c>
      <c r="J61" s="192">
        <v>44834</v>
      </c>
      <c r="K61" s="486">
        <v>103757</v>
      </c>
      <c r="L61" s="189" t="s">
        <v>840</v>
      </c>
      <c r="M61" s="520" t="s">
        <v>1053</v>
      </c>
      <c r="N61" s="535" t="s">
        <v>0</v>
      </c>
      <c r="O61" s="505" t="s">
        <v>772</v>
      </c>
      <c r="P61" s="62"/>
      <c r="Q61" s="62"/>
      <c r="R61" s="62"/>
      <c r="S61" s="62"/>
      <c r="T61" s="62"/>
      <c r="U61" s="62"/>
      <c r="V61" s="62"/>
      <c r="W61" s="62"/>
      <c r="X61" s="62"/>
      <c r="Y61" s="62"/>
      <c r="Z61" s="26"/>
      <c r="AA61" s="27"/>
      <c r="AB61" s="452"/>
    </row>
    <row r="62" spans="1:33" s="63" customFormat="1" ht="28">
      <c r="A62" s="57"/>
      <c r="B62" s="342" t="s">
        <v>0</v>
      </c>
      <c r="C62" s="22" t="s">
        <v>598</v>
      </c>
      <c r="D62" s="22" t="s">
        <v>1025</v>
      </c>
      <c r="E62" s="542" t="s">
        <v>1305</v>
      </c>
      <c r="F62" s="21" t="s">
        <v>852</v>
      </c>
      <c r="G62" s="21" t="s">
        <v>853</v>
      </c>
      <c r="H62" s="176">
        <v>10.329000000000001</v>
      </c>
      <c r="I62" s="175">
        <v>42979</v>
      </c>
      <c r="J62" s="192">
        <v>44074</v>
      </c>
      <c r="K62" s="486">
        <v>67800</v>
      </c>
      <c r="L62" s="189" t="s">
        <v>850</v>
      </c>
      <c r="M62" s="520" t="s">
        <v>1053</v>
      </c>
      <c r="N62" s="535" t="s">
        <v>0</v>
      </c>
      <c r="O62" s="506" t="s">
        <v>851</v>
      </c>
      <c r="P62" s="62"/>
      <c r="Q62" s="62"/>
      <c r="R62" s="62"/>
      <c r="S62" s="62"/>
      <c r="T62" s="62"/>
      <c r="U62" s="62"/>
      <c r="V62" s="62"/>
      <c r="W62" s="62"/>
      <c r="X62" s="62"/>
      <c r="Y62" s="62"/>
      <c r="Z62" s="26"/>
      <c r="AA62" s="27"/>
      <c r="AB62" s="452"/>
    </row>
    <row r="63" spans="1:33" s="63" customFormat="1" ht="28">
      <c r="A63" s="57"/>
      <c r="B63" s="342" t="s">
        <v>0</v>
      </c>
      <c r="C63" s="22" t="s">
        <v>598</v>
      </c>
      <c r="D63" s="22" t="s">
        <v>1025</v>
      </c>
      <c r="E63" s="542" t="s">
        <v>1305</v>
      </c>
      <c r="F63" s="21" t="s">
        <v>848</v>
      </c>
      <c r="G63" s="21" t="s">
        <v>849</v>
      </c>
      <c r="H63" s="176">
        <v>10.329000000000001</v>
      </c>
      <c r="I63" s="175">
        <v>41883</v>
      </c>
      <c r="J63" s="192">
        <v>43343</v>
      </c>
      <c r="K63" s="486">
        <v>97500</v>
      </c>
      <c r="L63" s="189" t="s">
        <v>850</v>
      </c>
      <c r="M63" s="520" t="s">
        <v>1053</v>
      </c>
      <c r="N63" s="535" t="s">
        <v>0</v>
      </c>
      <c r="O63" s="499" t="s">
        <v>851</v>
      </c>
      <c r="P63" s="62"/>
      <c r="Q63" s="62"/>
      <c r="R63" s="62"/>
      <c r="S63" s="62"/>
      <c r="T63" s="62"/>
      <c r="U63" s="62"/>
      <c r="V63" s="62"/>
      <c r="W63" s="62"/>
      <c r="X63" s="62"/>
      <c r="Y63" s="62"/>
      <c r="Z63" s="26"/>
      <c r="AA63" s="27"/>
      <c r="AB63" s="452"/>
    </row>
    <row r="64" spans="1:33" s="63" customFormat="1">
      <c r="A64" s="57"/>
      <c r="B64" s="342" t="s">
        <v>0</v>
      </c>
      <c r="C64" s="22" t="s">
        <v>13</v>
      </c>
      <c r="D64" s="22" t="s">
        <v>667</v>
      </c>
      <c r="E64" s="542" t="s">
        <v>1306</v>
      </c>
      <c r="F64" s="21" t="s">
        <v>351</v>
      </c>
      <c r="G64" s="21"/>
      <c r="H64" s="176">
        <v>10.68</v>
      </c>
      <c r="I64" s="175">
        <v>42979</v>
      </c>
      <c r="J64" s="192">
        <v>43830</v>
      </c>
      <c r="K64" s="486">
        <v>65000</v>
      </c>
      <c r="L64" s="672"/>
      <c r="M64" s="516" t="s">
        <v>1307</v>
      </c>
      <c r="N64" s="535" t="s">
        <v>6</v>
      </c>
      <c r="O64" s="189"/>
      <c r="P64" s="62"/>
      <c r="Q64" s="62"/>
      <c r="R64" s="62"/>
      <c r="S64" s="62"/>
      <c r="T64" s="62"/>
      <c r="U64" s="62"/>
      <c r="V64" s="62"/>
      <c r="W64" s="62"/>
      <c r="X64" s="62"/>
      <c r="Y64" s="62"/>
      <c r="Z64" s="26"/>
      <c r="AA64" s="27"/>
      <c r="AB64" s="452"/>
    </row>
    <row r="65" spans="1:28" s="63" customFormat="1" ht="28">
      <c r="A65" s="57"/>
      <c r="B65" s="342" t="s">
        <v>0</v>
      </c>
      <c r="C65" s="71" t="s">
        <v>854</v>
      </c>
      <c r="D65" s="71" t="s">
        <v>1015</v>
      </c>
      <c r="E65" s="542" t="s">
        <v>1306</v>
      </c>
      <c r="F65" s="70" t="s">
        <v>163</v>
      </c>
      <c r="G65" s="70" t="s">
        <v>293</v>
      </c>
      <c r="H65" s="156">
        <v>10.651999999999999</v>
      </c>
      <c r="I65" s="101" t="s">
        <v>62</v>
      </c>
      <c r="J65" s="138" t="s">
        <v>164</v>
      </c>
      <c r="K65" s="448">
        <v>64107</v>
      </c>
      <c r="L65" s="498" t="s">
        <v>170</v>
      </c>
      <c r="M65" s="516" t="s">
        <v>1307</v>
      </c>
      <c r="N65" s="534" t="s">
        <v>6</v>
      </c>
      <c r="O65" s="498" t="s">
        <v>289</v>
      </c>
      <c r="P65" s="62"/>
      <c r="Q65" s="62"/>
      <c r="R65" s="62"/>
      <c r="S65" s="62"/>
      <c r="T65" s="62"/>
      <c r="U65" s="62"/>
      <c r="V65" s="62"/>
      <c r="W65" s="62"/>
      <c r="X65" s="62"/>
      <c r="Y65" s="62"/>
      <c r="Z65" s="26"/>
      <c r="AA65" s="27"/>
      <c r="AB65" s="452"/>
    </row>
    <row r="66" spans="1:28" s="63" customFormat="1" ht="42">
      <c r="A66" s="57"/>
      <c r="B66" s="342" t="s">
        <v>0</v>
      </c>
      <c r="C66" s="71" t="s">
        <v>854</v>
      </c>
      <c r="D66" s="71" t="s">
        <v>1016</v>
      </c>
      <c r="E66" s="542" t="s">
        <v>1306</v>
      </c>
      <c r="F66" s="70" t="s">
        <v>168</v>
      </c>
      <c r="G66" s="70" t="s">
        <v>294</v>
      </c>
      <c r="H66" s="156">
        <v>10.651999999999999</v>
      </c>
      <c r="I66" s="101" t="s">
        <v>124</v>
      </c>
      <c r="J66" s="138" t="s">
        <v>169</v>
      </c>
      <c r="K66" s="448">
        <v>199834.88</v>
      </c>
      <c r="L66" s="498" t="s">
        <v>8</v>
      </c>
      <c r="M66" s="516" t="s">
        <v>0</v>
      </c>
      <c r="N66" s="534" t="s">
        <v>6</v>
      </c>
      <c r="O66" s="498" t="s">
        <v>290</v>
      </c>
      <c r="P66" s="62"/>
      <c r="Q66" s="62">
        <v>45000</v>
      </c>
      <c r="R66" s="62"/>
      <c r="S66" s="62">
        <v>3060</v>
      </c>
      <c r="T66" s="62"/>
      <c r="U66" s="62">
        <v>500</v>
      </c>
      <c r="V66" s="62">
        <v>13621</v>
      </c>
      <c r="W66" s="62"/>
      <c r="X66" s="62"/>
      <c r="Y66" s="62">
        <v>26550</v>
      </c>
      <c r="Z66" s="26">
        <f t="shared" si="10"/>
        <v>88731</v>
      </c>
      <c r="AA66" s="27">
        <f t="shared" ref="AA66:AA74" si="13">Z66-K67</f>
        <v>-1131693</v>
      </c>
      <c r="AB66" s="452"/>
    </row>
    <row r="67" spans="1:28" s="63" customFormat="1" ht="42">
      <c r="A67" s="57"/>
      <c r="B67" s="342" t="s">
        <v>0</v>
      </c>
      <c r="C67" s="22" t="s">
        <v>598</v>
      </c>
      <c r="D67" s="22" t="s">
        <v>779</v>
      </c>
      <c r="E67" s="542" t="s">
        <v>1305</v>
      </c>
      <c r="F67" s="21" t="s">
        <v>960</v>
      </c>
      <c r="G67" s="21" t="s">
        <v>278</v>
      </c>
      <c r="H67" s="176">
        <v>10.202999999999999</v>
      </c>
      <c r="I67" s="175">
        <v>42278</v>
      </c>
      <c r="J67" s="192">
        <v>43008</v>
      </c>
      <c r="K67" s="486">
        <v>1220424</v>
      </c>
      <c r="L67" s="189" t="s">
        <v>776</v>
      </c>
      <c r="M67" s="520" t="s">
        <v>1052</v>
      </c>
      <c r="N67" s="535" t="s">
        <v>0</v>
      </c>
      <c r="O67" s="189" t="s">
        <v>780</v>
      </c>
      <c r="P67" s="62"/>
      <c r="Q67" s="62">
        <v>13000</v>
      </c>
      <c r="R67" s="62"/>
      <c r="S67" s="62">
        <v>975</v>
      </c>
      <c r="T67" s="62">
        <v>3520</v>
      </c>
      <c r="U67" s="62"/>
      <c r="V67" s="62">
        <v>3235</v>
      </c>
      <c r="W67" s="62"/>
      <c r="X67" s="62">
        <v>2000</v>
      </c>
      <c r="Y67" s="62">
        <v>2270</v>
      </c>
      <c r="Z67" s="26">
        <f t="shared" si="10"/>
        <v>25000</v>
      </c>
      <c r="AA67" s="27">
        <f t="shared" si="13"/>
        <v>-1290132</v>
      </c>
      <c r="AB67" s="452"/>
    </row>
    <row r="68" spans="1:28" s="63" customFormat="1" ht="28">
      <c r="A68" s="57"/>
      <c r="B68" s="342" t="s">
        <v>0</v>
      </c>
      <c r="C68" s="22" t="s">
        <v>598</v>
      </c>
      <c r="D68" s="22" t="s">
        <v>781</v>
      </c>
      <c r="E68" s="542" t="s">
        <v>1305</v>
      </c>
      <c r="F68" s="21" t="s">
        <v>956</v>
      </c>
      <c r="G68" s="21" t="s">
        <v>782</v>
      </c>
      <c r="H68" s="176">
        <v>10.202999999999999</v>
      </c>
      <c r="I68" s="175">
        <v>42644</v>
      </c>
      <c r="J68" s="192">
        <v>43373</v>
      </c>
      <c r="K68" s="486">
        <v>1315132</v>
      </c>
      <c r="L68" s="189" t="s">
        <v>776</v>
      </c>
      <c r="M68" s="520" t="s">
        <v>1052</v>
      </c>
      <c r="N68" s="535"/>
      <c r="O68" s="507" t="s">
        <v>772</v>
      </c>
      <c r="P68" s="62"/>
      <c r="Q68" s="62"/>
      <c r="R68" s="62"/>
      <c r="S68" s="62">
        <v>14305</v>
      </c>
      <c r="T68" s="62">
        <v>3000</v>
      </c>
      <c r="U68" s="62"/>
      <c r="V68" s="62">
        <v>3425</v>
      </c>
      <c r="W68" s="62"/>
      <c r="X68" s="62">
        <f>2000</f>
        <v>2000</v>
      </c>
      <c r="Y68" s="62">
        <v>2270</v>
      </c>
      <c r="Z68" s="26">
        <f>SUM(P68:Y68)</f>
        <v>25000</v>
      </c>
      <c r="AA68" s="27">
        <f t="shared" si="13"/>
        <v>-1390747</v>
      </c>
      <c r="AB68" s="452"/>
    </row>
    <row r="69" spans="1:28" s="63" customFormat="1">
      <c r="A69" s="57"/>
      <c r="B69" s="342" t="s">
        <v>0</v>
      </c>
      <c r="C69" s="22" t="s">
        <v>598</v>
      </c>
      <c r="D69" s="22" t="s">
        <v>783</v>
      </c>
      <c r="E69" s="542" t="s">
        <v>1305</v>
      </c>
      <c r="F69" s="22" t="s">
        <v>961</v>
      </c>
      <c r="G69" s="21" t="s">
        <v>784</v>
      </c>
      <c r="H69" s="176">
        <v>10.202999999999999</v>
      </c>
      <c r="I69" s="175">
        <v>43009</v>
      </c>
      <c r="J69" s="192">
        <v>43738</v>
      </c>
      <c r="K69" s="486">
        <v>1415747</v>
      </c>
      <c r="L69" s="189" t="s">
        <v>773</v>
      </c>
      <c r="M69" s="520" t="s">
        <v>1052</v>
      </c>
      <c r="N69" s="535" t="s">
        <v>0</v>
      </c>
      <c r="O69" s="507" t="s">
        <v>772</v>
      </c>
      <c r="P69" s="78"/>
      <c r="Q69" s="78">
        <f>12662+6552</f>
        <v>19214</v>
      </c>
      <c r="R69" s="78"/>
      <c r="S69" s="78">
        <v>5137</v>
      </c>
      <c r="T69" s="78"/>
      <c r="U69" s="78"/>
      <c r="V69" s="78">
        <v>15750</v>
      </c>
      <c r="W69" s="78"/>
      <c r="X69" s="78">
        <v>3008</v>
      </c>
      <c r="Y69" s="78">
        <v>4790</v>
      </c>
      <c r="Z69" s="26">
        <f t="shared" si="10"/>
        <v>47899</v>
      </c>
      <c r="AA69" s="27">
        <f t="shared" si="13"/>
        <v>-1333</v>
      </c>
      <c r="AB69" s="452"/>
    </row>
    <row r="70" spans="1:28" s="82" customFormat="1" ht="42">
      <c r="A70" s="69"/>
      <c r="B70" s="342" t="s">
        <v>0</v>
      </c>
      <c r="C70" s="22" t="s">
        <v>870</v>
      </c>
      <c r="D70" s="22" t="s">
        <v>876</v>
      </c>
      <c r="E70" s="542" t="s">
        <v>1305</v>
      </c>
      <c r="F70" s="21" t="s">
        <v>877</v>
      </c>
      <c r="G70" s="21" t="s">
        <v>878</v>
      </c>
      <c r="H70" s="176">
        <v>93.043000000000006</v>
      </c>
      <c r="I70" s="175">
        <v>42691</v>
      </c>
      <c r="J70" s="192">
        <v>43373</v>
      </c>
      <c r="K70" s="486">
        <v>49232</v>
      </c>
      <c r="L70" s="189" t="s">
        <v>840</v>
      </c>
      <c r="M70" s="520" t="s">
        <v>1053</v>
      </c>
      <c r="N70" s="535" t="s">
        <v>0</v>
      </c>
      <c r="O70" s="499" t="s">
        <v>879</v>
      </c>
      <c r="P70" s="92"/>
      <c r="Q70" s="92">
        <v>66300</v>
      </c>
      <c r="R70" s="92"/>
      <c r="S70" s="92">
        <v>5071.95</v>
      </c>
      <c r="T70" s="92">
        <v>7180</v>
      </c>
      <c r="U70" s="92">
        <v>100000</v>
      </c>
      <c r="V70" s="92">
        <v>15509.12</v>
      </c>
      <c r="W70" s="92"/>
      <c r="X70" s="92"/>
      <c r="Y70" s="92">
        <v>16874.88</v>
      </c>
      <c r="Z70" s="95">
        <f t="shared" si="10"/>
        <v>210935.95</v>
      </c>
      <c r="AA70" s="56">
        <f t="shared" si="13"/>
        <v>113143.95000000001</v>
      </c>
      <c r="AB70" s="455"/>
    </row>
    <row r="71" spans="1:28" s="82" customFormat="1">
      <c r="A71" s="69"/>
      <c r="B71" s="342" t="s">
        <v>0</v>
      </c>
      <c r="C71" s="22" t="s">
        <v>674</v>
      </c>
      <c r="D71" s="22" t="s">
        <v>675</v>
      </c>
      <c r="E71" s="542" t="s">
        <v>1306</v>
      </c>
      <c r="F71" s="21" t="s">
        <v>676</v>
      </c>
      <c r="G71" s="21"/>
      <c r="H71" s="176">
        <v>45.301000000000002</v>
      </c>
      <c r="I71" s="175">
        <v>43009</v>
      </c>
      <c r="J71" s="192">
        <v>44104</v>
      </c>
      <c r="K71" s="486">
        <v>97792</v>
      </c>
      <c r="L71" s="672" t="s">
        <v>677</v>
      </c>
      <c r="M71" s="516" t="s">
        <v>1307</v>
      </c>
      <c r="N71" s="535" t="s">
        <v>6</v>
      </c>
      <c r="O71" s="189"/>
      <c r="P71" s="92">
        <v>5867</v>
      </c>
      <c r="Q71" s="92">
        <f>34736+6120</f>
        <v>40856</v>
      </c>
      <c r="R71" s="92"/>
      <c r="S71" s="92">
        <v>11690</v>
      </c>
      <c r="T71" s="92">
        <v>5700</v>
      </c>
      <c r="U71" s="92"/>
      <c r="V71" s="92">
        <v>1287</v>
      </c>
      <c r="W71" s="92">
        <v>2200</v>
      </c>
      <c r="X71" s="92">
        <f>5500</f>
        <v>5500</v>
      </c>
      <c r="Y71" s="92">
        <v>12900</v>
      </c>
      <c r="Z71" s="95">
        <f t="shared" si="10"/>
        <v>86000</v>
      </c>
      <c r="AA71" s="56">
        <f>Z71-K73</f>
        <v>-166109</v>
      </c>
      <c r="AB71" s="455"/>
    </row>
    <row r="72" spans="1:28" s="82" customFormat="1" ht="56">
      <c r="A72" s="69"/>
      <c r="B72" s="570" t="s">
        <v>0</v>
      </c>
      <c r="C72" s="189" t="s">
        <v>809</v>
      </c>
      <c r="D72" s="189" t="s">
        <v>1370</v>
      </c>
      <c r="E72" s="542"/>
      <c r="F72" s="584"/>
      <c r="G72" s="501"/>
      <c r="H72" s="571">
        <v>47.076000000000001</v>
      </c>
      <c r="I72" s="572">
        <v>43344</v>
      </c>
      <c r="J72" s="573">
        <v>45169</v>
      </c>
      <c r="K72" s="574">
        <v>266655</v>
      </c>
      <c r="L72" s="672" t="s">
        <v>61</v>
      </c>
      <c r="M72" s="516" t="s">
        <v>0</v>
      </c>
      <c r="N72" s="501" t="s">
        <v>6</v>
      </c>
      <c r="O72" s="189" t="s">
        <v>1359</v>
      </c>
      <c r="P72" s="92"/>
      <c r="Q72" s="92"/>
      <c r="R72" s="92"/>
      <c r="S72" s="92"/>
      <c r="T72" s="92"/>
      <c r="U72" s="92"/>
      <c r="V72" s="92"/>
      <c r="W72" s="92"/>
      <c r="X72" s="92"/>
      <c r="Y72" s="92"/>
      <c r="Z72" s="95"/>
      <c r="AA72" s="56"/>
      <c r="AB72" s="455"/>
    </row>
    <row r="73" spans="1:28" s="133" customFormat="1" ht="28">
      <c r="A73" s="69"/>
      <c r="B73" s="342" t="s">
        <v>0</v>
      </c>
      <c r="C73" s="22" t="s">
        <v>11</v>
      </c>
      <c r="D73" s="22" t="s">
        <v>805</v>
      </c>
      <c r="E73" s="542" t="s">
        <v>1305</v>
      </c>
      <c r="F73" s="21" t="s">
        <v>1174</v>
      </c>
      <c r="G73" s="21" t="s">
        <v>806</v>
      </c>
      <c r="H73" s="176">
        <v>47.073999999999998</v>
      </c>
      <c r="I73" s="175">
        <v>41395</v>
      </c>
      <c r="J73" s="192">
        <v>43465</v>
      </c>
      <c r="K73" s="486">
        <v>252109</v>
      </c>
      <c r="L73" s="189" t="s">
        <v>807</v>
      </c>
      <c r="M73" s="520" t="s">
        <v>1052</v>
      </c>
      <c r="N73" s="535" t="s">
        <v>0</v>
      </c>
      <c r="O73" s="189" t="s">
        <v>808</v>
      </c>
      <c r="P73" s="132"/>
      <c r="Q73" s="132"/>
      <c r="R73" s="132"/>
      <c r="S73" s="132"/>
      <c r="T73" s="132"/>
      <c r="U73" s="132"/>
      <c r="V73" s="132"/>
      <c r="W73" s="132"/>
      <c r="X73" s="132"/>
      <c r="Y73" s="132"/>
      <c r="Z73" s="95">
        <f t="shared" ref="Z73:Z106" si="14">SUM(P73:Y73)</f>
        <v>0</v>
      </c>
      <c r="AA73" s="56">
        <f t="shared" si="13"/>
        <v>-168653</v>
      </c>
      <c r="AB73" s="455"/>
    </row>
    <row r="74" spans="1:28" s="24" customFormat="1">
      <c r="A74" s="57"/>
      <c r="B74" s="342" t="s">
        <v>0</v>
      </c>
      <c r="C74" s="22" t="s">
        <v>13</v>
      </c>
      <c r="D74" s="22" t="s">
        <v>668</v>
      </c>
      <c r="E74" s="542" t="s">
        <v>1306</v>
      </c>
      <c r="F74" s="21" t="s">
        <v>669</v>
      </c>
      <c r="G74" s="21"/>
      <c r="H74" s="176">
        <v>10.321999999999999</v>
      </c>
      <c r="I74" s="175">
        <v>42979</v>
      </c>
      <c r="J74" s="192">
        <v>43708</v>
      </c>
      <c r="K74" s="486">
        <v>168653</v>
      </c>
      <c r="L74" s="672"/>
      <c r="M74" s="520" t="s">
        <v>1307</v>
      </c>
      <c r="N74" s="535" t="s">
        <v>6</v>
      </c>
      <c r="O74" s="189"/>
      <c r="P74" s="131"/>
      <c r="Q74" s="131"/>
      <c r="R74" s="131"/>
      <c r="S74" s="131"/>
      <c r="T74" s="131"/>
      <c r="U74" s="131"/>
      <c r="V74" s="131"/>
      <c r="W74" s="131"/>
      <c r="X74" s="131"/>
      <c r="Y74" s="131"/>
      <c r="Z74" s="26">
        <f t="shared" si="14"/>
        <v>0</v>
      </c>
      <c r="AA74" s="27">
        <f t="shared" si="13"/>
        <v>-128049</v>
      </c>
      <c r="AB74" s="452"/>
    </row>
    <row r="75" spans="1:28" s="24" customFormat="1" ht="28">
      <c r="A75" s="57"/>
      <c r="B75" s="342" t="s">
        <v>0</v>
      </c>
      <c r="C75" s="22" t="s">
        <v>819</v>
      </c>
      <c r="D75" s="22" t="s">
        <v>820</v>
      </c>
      <c r="E75" s="542" t="s">
        <v>1305</v>
      </c>
      <c r="F75" s="21" t="s">
        <v>821</v>
      </c>
      <c r="G75" s="21" t="s">
        <v>822</v>
      </c>
      <c r="H75" s="176">
        <v>10.912000000000001</v>
      </c>
      <c r="I75" s="175">
        <v>42781</v>
      </c>
      <c r="J75" s="192">
        <v>43737</v>
      </c>
      <c r="K75" s="486">
        <v>128049</v>
      </c>
      <c r="L75" s="189" t="s">
        <v>823</v>
      </c>
      <c r="M75" s="520" t="s">
        <v>1052</v>
      </c>
      <c r="N75" s="535" t="s">
        <v>0</v>
      </c>
      <c r="O75" s="189" t="s">
        <v>824</v>
      </c>
      <c r="P75" s="21"/>
      <c r="Q75" s="21"/>
      <c r="R75" s="21"/>
      <c r="S75" s="21"/>
      <c r="T75" s="21"/>
      <c r="U75" s="21"/>
      <c r="V75" s="21"/>
      <c r="W75" s="21"/>
      <c r="X75" s="21"/>
      <c r="Y75" s="21"/>
      <c r="Z75" s="26"/>
      <c r="AA75" s="27"/>
      <c r="AB75" s="452"/>
    </row>
    <row r="76" spans="1:28" s="24" customFormat="1" ht="42">
      <c r="A76" s="57"/>
      <c r="B76" s="342" t="s">
        <v>0</v>
      </c>
      <c r="C76" s="22" t="s">
        <v>598</v>
      </c>
      <c r="D76" s="22" t="s">
        <v>1041</v>
      </c>
      <c r="E76" s="542" t="s">
        <v>1305</v>
      </c>
      <c r="F76" s="21" t="s">
        <v>1005</v>
      </c>
      <c r="G76" s="22" t="s">
        <v>1006</v>
      </c>
      <c r="H76" s="21">
        <v>10.202</v>
      </c>
      <c r="I76" s="344">
        <v>42278</v>
      </c>
      <c r="J76" s="344">
        <v>43008</v>
      </c>
      <c r="K76" s="486">
        <v>106425</v>
      </c>
      <c r="L76" s="189" t="s">
        <v>392</v>
      </c>
      <c r="M76" s="520" t="s">
        <v>1052</v>
      </c>
      <c r="N76" s="535" t="s">
        <v>0</v>
      </c>
      <c r="O76" s="189" t="s">
        <v>1007</v>
      </c>
      <c r="P76" s="21"/>
      <c r="Q76" s="21"/>
      <c r="R76" s="21"/>
      <c r="S76" s="21"/>
      <c r="T76" s="21"/>
      <c r="U76" s="21"/>
      <c r="V76" s="21"/>
      <c r="W76" s="21"/>
      <c r="X76" s="21"/>
      <c r="Y76" s="21"/>
      <c r="Z76" s="26"/>
      <c r="AA76" s="27"/>
      <c r="AB76" s="452"/>
    </row>
    <row r="77" spans="1:28" s="24" customFormat="1" ht="34">
      <c r="A77" s="57"/>
      <c r="B77" s="342" t="s">
        <v>0</v>
      </c>
      <c r="C77" s="45" t="s">
        <v>598</v>
      </c>
      <c r="D77" s="45" t="s">
        <v>1042</v>
      </c>
      <c r="E77" s="542" t="s">
        <v>1305</v>
      </c>
      <c r="F77" s="102" t="s">
        <v>1008</v>
      </c>
      <c r="G77" s="45" t="s">
        <v>1009</v>
      </c>
      <c r="H77" s="102">
        <v>10.202</v>
      </c>
      <c r="I77" s="347">
        <v>42644</v>
      </c>
      <c r="J77" s="347">
        <v>43373</v>
      </c>
      <c r="K77" s="489">
        <v>150745</v>
      </c>
      <c r="L77" s="723" t="s">
        <v>392</v>
      </c>
      <c r="M77" s="516" t="s">
        <v>1052</v>
      </c>
      <c r="N77" s="538" t="s">
        <v>0</v>
      </c>
      <c r="O77" s="494" t="s">
        <v>772</v>
      </c>
      <c r="P77" s="21"/>
      <c r="Q77" s="21"/>
      <c r="R77" s="21"/>
      <c r="S77" s="21"/>
      <c r="T77" s="21"/>
      <c r="U77" s="21"/>
      <c r="V77" s="21"/>
      <c r="W77" s="21"/>
      <c r="X77" s="21"/>
      <c r="Y77" s="21"/>
      <c r="Z77" s="26"/>
      <c r="AA77" s="27"/>
      <c r="AB77" s="452"/>
    </row>
    <row r="78" spans="1:28" s="24" customFormat="1" ht="34">
      <c r="A78" s="57"/>
      <c r="B78" s="342" t="s">
        <v>0</v>
      </c>
      <c r="C78" s="22" t="s">
        <v>598</v>
      </c>
      <c r="D78" s="22" t="s">
        <v>1043</v>
      </c>
      <c r="E78" s="542" t="s">
        <v>1305</v>
      </c>
      <c r="F78" s="21" t="s">
        <v>1005</v>
      </c>
      <c r="G78" s="22" t="s">
        <v>1010</v>
      </c>
      <c r="H78" s="21">
        <v>10.202</v>
      </c>
      <c r="I78" s="344">
        <v>43009</v>
      </c>
      <c r="J78" s="344">
        <v>43738</v>
      </c>
      <c r="K78" s="486">
        <v>46146</v>
      </c>
      <c r="L78" s="189" t="s">
        <v>773</v>
      </c>
      <c r="M78" s="520" t="s">
        <v>1052</v>
      </c>
      <c r="N78" s="535" t="s">
        <v>0</v>
      </c>
      <c r="O78" s="508" t="s">
        <v>772</v>
      </c>
      <c r="P78" s="21"/>
      <c r="Q78" s="21"/>
      <c r="R78" s="21"/>
      <c r="S78" s="21"/>
      <c r="T78" s="21"/>
      <c r="U78" s="21"/>
      <c r="V78" s="21"/>
      <c r="W78" s="21"/>
      <c r="X78" s="21"/>
      <c r="Y78" s="21"/>
      <c r="Z78" s="26"/>
      <c r="AA78" s="27"/>
      <c r="AB78" s="452"/>
    </row>
    <row r="79" spans="1:28" s="24" customFormat="1" ht="126">
      <c r="A79" s="57"/>
      <c r="B79" s="342" t="s">
        <v>0</v>
      </c>
      <c r="C79" s="45" t="s">
        <v>854</v>
      </c>
      <c r="D79" s="45" t="s">
        <v>1249</v>
      </c>
      <c r="E79" s="542" t="s">
        <v>1306</v>
      </c>
      <c r="F79" s="401" t="s">
        <v>1291</v>
      </c>
      <c r="G79" s="45" t="s">
        <v>1250</v>
      </c>
      <c r="H79" s="160">
        <v>10.664</v>
      </c>
      <c r="I79" s="103" t="s">
        <v>1229</v>
      </c>
      <c r="J79" s="103" t="s">
        <v>1251</v>
      </c>
      <c r="K79" s="448">
        <v>50000</v>
      </c>
      <c r="L79" s="723" t="s">
        <v>95</v>
      </c>
      <c r="M79" s="519" t="s">
        <v>1230</v>
      </c>
      <c r="N79" s="530" t="s">
        <v>6</v>
      </c>
      <c r="O79" s="498" t="s">
        <v>1252</v>
      </c>
      <c r="P79" s="21"/>
      <c r="Q79" s="21"/>
      <c r="R79" s="21"/>
      <c r="S79" s="21"/>
      <c r="T79" s="21"/>
      <c r="U79" s="21"/>
      <c r="V79" s="21"/>
      <c r="W79" s="21"/>
      <c r="X79" s="21"/>
      <c r="Y79" s="21"/>
      <c r="Z79" s="26"/>
      <c r="AA79" s="27"/>
      <c r="AB79" s="452"/>
    </row>
    <row r="80" spans="1:28" s="24" customFormat="1">
      <c r="A80" s="57"/>
      <c r="B80" s="342" t="s">
        <v>0</v>
      </c>
      <c r="C80" s="22" t="s">
        <v>664</v>
      </c>
      <c r="D80" s="22" t="s">
        <v>1003</v>
      </c>
      <c r="E80" s="542" t="s">
        <v>1306</v>
      </c>
      <c r="F80" s="21" t="s">
        <v>665</v>
      </c>
      <c r="G80" s="21"/>
      <c r="H80" s="176">
        <v>15.875</v>
      </c>
      <c r="I80" s="175">
        <v>42937</v>
      </c>
      <c r="J80" s="192">
        <v>43738</v>
      </c>
      <c r="K80" s="486">
        <v>63816</v>
      </c>
      <c r="L80" s="672" t="s">
        <v>61</v>
      </c>
      <c r="M80" s="516" t="s">
        <v>1307</v>
      </c>
      <c r="N80" s="535" t="s">
        <v>6</v>
      </c>
      <c r="O80" s="189"/>
      <c r="P80" s="21"/>
      <c r="Q80" s="21"/>
      <c r="R80" s="21"/>
      <c r="S80" s="21"/>
      <c r="T80" s="21"/>
      <c r="U80" s="21"/>
      <c r="V80" s="21"/>
      <c r="W80" s="21"/>
      <c r="X80" s="21"/>
      <c r="Y80" s="21"/>
      <c r="Z80" s="26"/>
      <c r="AA80" s="27"/>
      <c r="AB80" s="452"/>
    </row>
    <row r="81" spans="1:28" s="24" customFormat="1" ht="68">
      <c r="A81" s="20"/>
      <c r="B81" s="342" t="s">
        <v>0</v>
      </c>
      <c r="C81" s="71" t="s">
        <v>13</v>
      </c>
      <c r="D81" s="71" t="s">
        <v>369</v>
      </c>
      <c r="E81" s="542" t="s">
        <v>1306</v>
      </c>
      <c r="F81" s="70" t="s">
        <v>66</v>
      </c>
      <c r="G81" s="70" t="s">
        <v>370</v>
      </c>
      <c r="H81" s="156" t="s">
        <v>67</v>
      </c>
      <c r="I81" s="101" t="s">
        <v>52</v>
      </c>
      <c r="J81" s="138" t="s">
        <v>53</v>
      </c>
      <c r="K81" s="448">
        <v>200000</v>
      </c>
      <c r="L81" s="498" t="s">
        <v>61</v>
      </c>
      <c r="M81" s="516" t="s">
        <v>1307</v>
      </c>
      <c r="N81" s="534" t="s">
        <v>6</v>
      </c>
      <c r="O81" s="498" t="s">
        <v>371</v>
      </c>
      <c r="P81" s="21"/>
      <c r="Q81" s="21">
        <v>31200</v>
      </c>
      <c r="R81" s="21">
        <v>49000</v>
      </c>
      <c r="S81" s="21">
        <v>6100</v>
      </c>
      <c r="T81" s="21">
        <v>8200</v>
      </c>
      <c r="U81" s="21">
        <v>5000</v>
      </c>
      <c r="V81" s="21">
        <v>6100</v>
      </c>
      <c r="W81" s="21">
        <v>6000</v>
      </c>
      <c r="X81" s="21"/>
      <c r="Y81" s="21">
        <v>18400</v>
      </c>
      <c r="Z81" s="26">
        <f t="shared" si="14"/>
        <v>130000</v>
      </c>
      <c r="AA81" s="27">
        <f>Z81-K82</f>
        <v>-35342</v>
      </c>
      <c r="AB81" s="452"/>
    </row>
    <row r="82" spans="1:28" s="24" customFormat="1" ht="60">
      <c r="A82" s="20"/>
      <c r="B82" s="342" t="s">
        <v>0</v>
      </c>
      <c r="C82" s="22" t="s">
        <v>598</v>
      </c>
      <c r="D82" s="22" t="s">
        <v>1004</v>
      </c>
      <c r="E82" s="542" t="s">
        <v>1305</v>
      </c>
      <c r="F82" s="21" t="s">
        <v>958</v>
      </c>
      <c r="G82" s="21" t="s">
        <v>277</v>
      </c>
      <c r="H82" s="176">
        <v>10.202999999999999</v>
      </c>
      <c r="I82" s="175">
        <v>42278</v>
      </c>
      <c r="J82" s="192">
        <v>43008</v>
      </c>
      <c r="K82" s="486">
        <v>165342</v>
      </c>
      <c r="L82" s="189" t="s">
        <v>392</v>
      </c>
      <c r="M82" s="520" t="s">
        <v>1052</v>
      </c>
      <c r="N82" s="535" t="s">
        <v>0</v>
      </c>
      <c r="O82" s="509" t="s">
        <v>774</v>
      </c>
      <c r="P82" s="23"/>
      <c r="Q82" s="23">
        <v>31200</v>
      </c>
      <c r="R82" s="23">
        <v>23800</v>
      </c>
      <c r="S82" s="23">
        <v>4200</v>
      </c>
      <c r="T82" s="23">
        <v>29900</v>
      </c>
      <c r="U82" s="23">
        <v>17500</v>
      </c>
      <c r="V82" s="23">
        <v>5000</v>
      </c>
      <c r="W82" s="23"/>
      <c r="X82" s="23">
        <v>20000</v>
      </c>
      <c r="Y82" s="23">
        <v>18400</v>
      </c>
      <c r="Z82" s="26">
        <f t="shared" si="14"/>
        <v>150000</v>
      </c>
      <c r="AA82" s="27">
        <f>Z82-K83</f>
        <v>-15547</v>
      </c>
      <c r="AB82" s="452"/>
    </row>
    <row r="83" spans="1:28" s="24" customFormat="1" ht="60">
      <c r="A83" s="20"/>
      <c r="B83" s="342" t="s">
        <v>0</v>
      </c>
      <c r="C83" s="22" t="s">
        <v>598</v>
      </c>
      <c r="D83" s="22" t="s">
        <v>775</v>
      </c>
      <c r="E83" s="542" t="s">
        <v>1305</v>
      </c>
      <c r="F83" s="22" t="s">
        <v>1175</v>
      </c>
      <c r="G83" s="21" t="s">
        <v>387</v>
      </c>
      <c r="H83" s="176">
        <v>10.202999999999999</v>
      </c>
      <c r="I83" s="175">
        <v>42644</v>
      </c>
      <c r="J83" s="192">
        <v>43373</v>
      </c>
      <c r="K83" s="486">
        <v>165547</v>
      </c>
      <c r="L83" s="189" t="s">
        <v>776</v>
      </c>
      <c r="M83" s="520" t="s">
        <v>1052</v>
      </c>
      <c r="N83" s="535" t="s">
        <v>0</v>
      </c>
      <c r="O83" s="510" t="s">
        <v>774</v>
      </c>
      <c r="P83" s="23"/>
      <c r="Q83" s="23"/>
      <c r="R83" s="23"/>
      <c r="S83" s="23"/>
      <c r="T83" s="23"/>
      <c r="U83" s="23"/>
      <c r="V83" s="23"/>
      <c r="W83" s="23"/>
      <c r="X83" s="23"/>
      <c r="Y83" s="23"/>
      <c r="Z83" s="26"/>
      <c r="AA83" s="27"/>
      <c r="AB83" s="452"/>
    </row>
    <row r="84" spans="1:28" s="24" customFormat="1">
      <c r="A84" s="20"/>
      <c r="B84" s="342" t="s">
        <v>0</v>
      </c>
      <c r="C84" s="22" t="s">
        <v>598</v>
      </c>
      <c r="D84" s="22" t="s">
        <v>777</v>
      </c>
      <c r="E84" s="542" t="s">
        <v>1305</v>
      </c>
      <c r="F84" s="22" t="s">
        <v>1177</v>
      </c>
      <c r="G84" s="21" t="s">
        <v>778</v>
      </c>
      <c r="H84" s="176">
        <v>10.202999999999999</v>
      </c>
      <c r="I84" s="175">
        <v>43009</v>
      </c>
      <c r="J84" s="192">
        <v>43738</v>
      </c>
      <c r="K84" s="486">
        <v>167631</v>
      </c>
      <c r="L84" s="189" t="s">
        <v>773</v>
      </c>
      <c r="M84" s="520" t="s">
        <v>1052</v>
      </c>
      <c r="N84" s="535"/>
      <c r="O84" s="511" t="s">
        <v>772</v>
      </c>
      <c r="P84" s="23"/>
      <c r="Q84" s="23"/>
      <c r="R84" s="23"/>
      <c r="S84" s="23"/>
      <c r="T84" s="23"/>
      <c r="U84" s="23"/>
      <c r="V84" s="23"/>
      <c r="W84" s="23"/>
      <c r="X84" s="23"/>
      <c r="Y84" s="23"/>
      <c r="Z84" s="26"/>
      <c r="AA84" s="27"/>
      <c r="AB84" s="452"/>
    </row>
    <row r="85" spans="1:28" s="24" customFormat="1" ht="70">
      <c r="A85" s="20"/>
      <c r="B85" s="342" t="s">
        <v>0</v>
      </c>
      <c r="C85" s="71" t="s">
        <v>358</v>
      </c>
      <c r="D85" s="71" t="s">
        <v>1234</v>
      </c>
      <c r="E85" s="542" t="s">
        <v>1306</v>
      </c>
      <c r="F85" s="70" t="s">
        <v>1235</v>
      </c>
      <c r="G85" s="70" t="s">
        <v>361</v>
      </c>
      <c r="H85" s="156">
        <v>10.025</v>
      </c>
      <c r="I85" s="101" t="s">
        <v>1229</v>
      </c>
      <c r="J85" s="142" t="s">
        <v>927</v>
      </c>
      <c r="K85" s="448">
        <v>13800</v>
      </c>
      <c r="L85" s="498" t="s">
        <v>61</v>
      </c>
      <c r="M85" s="516" t="s">
        <v>1230</v>
      </c>
      <c r="N85" s="534" t="s">
        <v>6</v>
      </c>
      <c r="O85" s="498" t="s">
        <v>362</v>
      </c>
      <c r="P85" s="23"/>
      <c r="Q85" s="23"/>
      <c r="R85" s="23"/>
      <c r="S85" s="23"/>
      <c r="T85" s="23"/>
      <c r="U85" s="23"/>
      <c r="V85" s="23"/>
      <c r="W85" s="23"/>
      <c r="X85" s="23"/>
      <c r="Y85" s="23"/>
      <c r="Z85" s="26"/>
      <c r="AA85" s="27"/>
      <c r="AB85" s="452"/>
    </row>
    <row r="86" spans="1:28" s="624" customFormat="1">
      <c r="A86" s="613"/>
      <c r="B86" s="625" t="s">
        <v>0</v>
      </c>
      <c r="C86" s="615" t="s">
        <v>1239</v>
      </c>
      <c r="D86" s="615" t="s">
        <v>825</v>
      </c>
      <c r="E86" s="626" t="s">
        <v>1305</v>
      </c>
      <c r="F86" s="616" t="s">
        <v>826</v>
      </c>
      <c r="G86" s="616" t="s">
        <v>827</v>
      </c>
      <c r="H86" s="617">
        <v>47.076000000000001</v>
      </c>
      <c r="I86" s="618">
        <v>43221</v>
      </c>
      <c r="J86" s="619">
        <v>43343</v>
      </c>
      <c r="K86" s="627">
        <v>28059</v>
      </c>
      <c r="L86" s="631" t="s">
        <v>1026</v>
      </c>
      <c r="M86" s="629" t="s">
        <v>1307</v>
      </c>
      <c r="N86" s="630" t="s">
        <v>0</v>
      </c>
      <c r="O86" s="631" t="s">
        <v>828</v>
      </c>
      <c r="P86" s="621"/>
      <c r="Q86" s="621"/>
      <c r="R86" s="621"/>
      <c r="S86" s="621"/>
      <c r="T86" s="621"/>
      <c r="U86" s="621"/>
      <c r="V86" s="621"/>
      <c r="W86" s="621"/>
      <c r="X86" s="621"/>
      <c r="Y86" s="621"/>
      <c r="Z86" s="622"/>
      <c r="AA86" s="623"/>
      <c r="AB86" s="632"/>
    </row>
    <row r="87" spans="1:28" s="24" customFormat="1" ht="51">
      <c r="A87" s="20"/>
      <c r="B87" s="342" t="s">
        <v>0</v>
      </c>
      <c r="C87" s="45" t="s">
        <v>1258</v>
      </c>
      <c r="D87" s="45" t="s">
        <v>1259</v>
      </c>
      <c r="E87" s="542" t="s">
        <v>1306</v>
      </c>
      <c r="F87" s="401" t="s">
        <v>1294</v>
      </c>
      <c r="G87" s="45"/>
      <c r="H87" s="160">
        <v>10.025</v>
      </c>
      <c r="I87" s="103" t="s">
        <v>1260</v>
      </c>
      <c r="J87" s="103" t="s">
        <v>1261</v>
      </c>
      <c r="K87" s="448">
        <v>200000</v>
      </c>
      <c r="L87" s="723" t="s">
        <v>666</v>
      </c>
      <c r="M87" s="520" t="s">
        <v>1053</v>
      </c>
      <c r="N87" s="530" t="s">
        <v>6</v>
      </c>
      <c r="O87" s="498" t="s">
        <v>1262</v>
      </c>
      <c r="P87" s="23"/>
      <c r="Q87" s="23"/>
      <c r="R87" s="23"/>
      <c r="S87" s="23"/>
      <c r="T87" s="23"/>
      <c r="U87" s="23"/>
      <c r="V87" s="23"/>
      <c r="W87" s="23"/>
      <c r="X87" s="23"/>
      <c r="Y87" s="23"/>
      <c r="Z87" s="26"/>
      <c r="AA87" s="27"/>
      <c r="AB87" s="452"/>
    </row>
    <row r="88" spans="1:28" s="24" customFormat="1" ht="182">
      <c r="A88" s="20"/>
      <c r="B88" s="342" t="s">
        <v>0</v>
      </c>
      <c r="C88" s="45" t="s">
        <v>1033</v>
      </c>
      <c r="D88" s="45" t="s">
        <v>1253</v>
      </c>
      <c r="E88" s="542" t="s">
        <v>1305</v>
      </c>
      <c r="F88" s="401" t="s">
        <v>1299</v>
      </c>
      <c r="G88" s="45" t="s">
        <v>1254</v>
      </c>
      <c r="H88" s="160">
        <v>10.215</v>
      </c>
      <c r="I88" s="101" t="s">
        <v>1255</v>
      </c>
      <c r="J88" s="103" t="s">
        <v>352</v>
      </c>
      <c r="K88" s="448">
        <v>49918</v>
      </c>
      <c r="L88" s="723" t="s">
        <v>1256</v>
      </c>
      <c r="M88" s="520" t="s">
        <v>1053</v>
      </c>
      <c r="N88" s="530" t="s">
        <v>6</v>
      </c>
      <c r="O88" s="498" t="s">
        <v>1257</v>
      </c>
      <c r="P88" s="23"/>
      <c r="Q88" s="23"/>
      <c r="R88" s="23"/>
      <c r="S88" s="23"/>
      <c r="T88" s="23"/>
      <c r="U88" s="23"/>
      <c r="V88" s="23"/>
      <c r="W88" s="23"/>
      <c r="X88" s="23"/>
      <c r="Y88" s="23"/>
      <c r="Z88" s="26"/>
      <c r="AA88" s="27"/>
      <c r="AB88" s="452"/>
    </row>
    <row r="89" spans="1:28" s="24" customFormat="1" ht="34">
      <c r="A89" s="20"/>
      <c r="B89" s="342" t="s">
        <v>0</v>
      </c>
      <c r="C89" s="45" t="s">
        <v>1392</v>
      </c>
      <c r="D89" s="45" t="s">
        <v>1394</v>
      </c>
      <c r="E89" s="542"/>
      <c r="F89" s="401" t="s">
        <v>158</v>
      </c>
      <c r="G89" s="45" t="s">
        <v>1393</v>
      </c>
      <c r="H89" s="160"/>
      <c r="I89" s="103" t="s">
        <v>1383</v>
      </c>
      <c r="J89" s="103" t="s">
        <v>1384</v>
      </c>
      <c r="K89" s="448">
        <v>29700</v>
      </c>
      <c r="L89" s="723" t="s">
        <v>70</v>
      </c>
      <c r="M89" s="520"/>
      <c r="N89" s="530" t="s">
        <v>6</v>
      </c>
      <c r="O89" s="498" t="s">
        <v>1385</v>
      </c>
      <c r="P89" s="23"/>
      <c r="Q89" s="23"/>
      <c r="R89" s="23"/>
      <c r="S89" s="23"/>
      <c r="T89" s="23"/>
      <c r="U89" s="23"/>
      <c r="V89" s="23"/>
      <c r="W89" s="23"/>
      <c r="X89" s="23"/>
      <c r="Y89" s="23"/>
      <c r="Z89" s="26"/>
      <c r="AA89" s="27"/>
      <c r="AB89" s="452"/>
    </row>
    <row r="90" spans="1:28" s="24" customFormat="1" ht="42">
      <c r="A90" s="20"/>
      <c r="B90" s="342" t="s">
        <v>0</v>
      </c>
      <c r="C90" s="71" t="s">
        <v>1037</v>
      </c>
      <c r="D90" s="71" t="s">
        <v>1036</v>
      </c>
      <c r="E90" s="542" t="s">
        <v>1305</v>
      </c>
      <c r="F90" s="70" t="s">
        <v>158</v>
      </c>
      <c r="G90" s="71" t="s">
        <v>398</v>
      </c>
      <c r="H90" s="156">
        <v>11.012</v>
      </c>
      <c r="I90" s="101" t="s">
        <v>43</v>
      </c>
      <c r="J90" s="174" t="s">
        <v>399</v>
      </c>
      <c r="K90" s="448">
        <v>9900</v>
      </c>
      <c r="L90" s="498" t="s">
        <v>70</v>
      </c>
      <c r="M90" s="516" t="s">
        <v>1307</v>
      </c>
      <c r="N90" s="534" t="s">
        <v>6</v>
      </c>
      <c r="O90" s="498" t="s">
        <v>400</v>
      </c>
      <c r="P90" s="23"/>
      <c r="Q90" s="23"/>
      <c r="R90" s="23"/>
      <c r="S90" s="23"/>
      <c r="T90" s="23"/>
      <c r="U90" s="23"/>
      <c r="V90" s="23"/>
      <c r="W90" s="23"/>
      <c r="X90" s="23"/>
      <c r="Y90" s="23"/>
      <c r="Z90" s="26"/>
      <c r="AA90" s="27"/>
      <c r="AB90" s="452"/>
    </row>
    <row r="91" spans="1:28" s="24" customFormat="1" ht="42">
      <c r="A91" s="20"/>
      <c r="B91" s="342" t="s">
        <v>0</v>
      </c>
      <c r="C91" s="71" t="s">
        <v>13</v>
      </c>
      <c r="D91" s="71" t="s">
        <v>363</v>
      </c>
      <c r="E91" s="542" t="s">
        <v>1306</v>
      </c>
      <c r="F91" s="73" t="s">
        <v>1176</v>
      </c>
      <c r="G91" s="73"/>
      <c r="H91" s="156">
        <v>10.025</v>
      </c>
      <c r="I91" s="101" t="s">
        <v>258</v>
      </c>
      <c r="J91" s="138" t="s">
        <v>364</v>
      </c>
      <c r="K91" s="448">
        <v>86000</v>
      </c>
      <c r="L91" s="498" t="s">
        <v>365</v>
      </c>
      <c r="M91" s="516" t="s">
        <v>1307</v>
      </c>
      <c r="N91" s="534" t="s">
        <v>6</v>
      </c>
      <c r="O91" s="498" t="s">
        <v>366</v>
      </c>
      <c r="P91" s="23"/>
      <c r="Q91" s="23"/>
      <c r="R91" s="23"/>
      <c r="S91" s="23"/>
      <c r="T91" s="23"/>
      <c r="U91" s="23"/>
      <c r="V91" s="23"/>
      <c r="W91" s="23"/>
      <c r="X91" s="23"/>
      <c r="Y91" s="23"/>
      <c r="Z91" s="26"/>
      <c r="AA91" s="27"/>
      <c r="AB91" s="452"/>
    </row>
    <row r="92" spans="1:28" s="24" customFormat="1" ht="51">
      <c r="A92" s="20"/>
      <c r="B92" s="342" t="s">
        <v>0</v>
      </c>
      <c r="C92" s="71" t="s">
        <v>1035</v>
      </c>
      <c r="D92" s="71" t="s">
        <v>1034</v>
      </c>
      <c r="E92" s="542" t="s">
        <v>1305</v>
      </c>
      <c r="F92" s="73" t="s">
        <v>1178</v>
      </c>
      <c r="G92" s="73" t="s">
        <v>335</v>
      </c>
      <c r="H92" s="156">
        <v>10.17</v>
      </c>
      <c r="I92" s="101" t="s">
        <v>152</v>
      </c>
      <c r="J92" s="138" t="s">
        <v>336</v>
      </c>
      <c r="K92" s="448">
        <v>210935.95</v>
      </c>
      <c r="L92" s="498" t="s">
        <v>96</v>
      </c>
      <c r="M92" s="516" t="s">
        <v>1307</v>
      </c>
      <c r="N92" s="534" t="s">
        <v>6</v>
      </c>
      <c r="O92" s="498" t="s">
        <v>337</v>
      </c>
      <c r="P92" s="23"/>
      <c r="Q92" s="23"/>
      <c r="R92" s="23"/>
      <c r="S92" s="23"/>
      <c r="T92" s="23"/>
      <c r="U92" s="23"/>
      <c r="V92" s="23"/>
      <c r="W92" s="23"/>
      <c r="X92" s="23"/>
      <c r="Y92" s="23"/>
      <c r="Z92" s="26"/>
      <c r="AA92" s="27"/>
      <c r="AB92" s="452"/>
    </row>
    <row r="93" spans="1:28" s="24" customFormat="1">
      <c r="A93" s="20"/>
      <c r="B93" s="342" t="s">
        <v>0</v>
      </c>
      <c r="C93" s="22" t="s">
        <v>598</v>
      </c>
      <c r="D93" s="22" t="s">
        <v>842</v>
      </c>
      <c r="E93" s="542" t="s">
        <v>1305</v>
      </c>
      <c r="F93" s="21" t="s">
        <v>843</v>
      </c>
      <c r="G93" s="21" t="s">
        <v>844</v>
      </c>
      <c r="H93" s="176">
        <v>10.5</v>
      </c>
      <c r="I93" s="175">
        <v>42644</v>
      </c>
      <c r="J93" s="192">
        <v>43373</v>
      </c>
      <c r="K93" s="486">
        <v>13500</v>
      </c>
      <c r="L93" s="189" t="s">
        <v>845</v>
      </c>
      <c r="M93" s="520" t="s">
        <v>1053</v>
      </c>
      <c r="N93" s="535" t="s">
        <v>0</v>
      </c>
      <c r="O93" s="501" t="s">
        <v>949</v>
      </c>
      <c r="P93" s="23"/>
      <c r="Q93" s="23"/>
      <c r="R93" s="23"/>
      <c r="S93" s="23"/>
      <c r="T93" s="23"/>
      <c r="U93" s="23"/>
      <c r="V93" s="23"/>
      <c r="W93" s="23"/>
      <c r="X93" s="23"/>
      <c r="Y93" s="23"/>
      <c r="Z93" s="26"/>
      <c r="AA93" s="27"/>
      <c r="AB93" s="452"/>
    </row>
    <row r="94" spans="1:28" s="24" customFormat="1">
      <c r="A94" s="20"/>
      <c r="B94" s="342" t="s">
        <v>0</v>
      </c>
      <c r="C94" s="22" t="s">
        <v>598</v>
      </c>
      <c r="D94" s="22" t="s">
        <v>846</v>
      </c>
      <c r="E94" s="542" t="s">
        <v>1305</v>
      </c>
      <c r="F94" s="21" t="s">
        <v>843</v>
      </c>
      <c r="G94" s="21" t="s">
        <v>847</v>
      </c>
      <c r="H94" s="176">
        <v>10.5</v>
      </c>
      <c r="I94" s="175">
        <v>43009</v>
      </c>
      <c r="J94" s="192">
        <v>43738</v>
      </c>
      <c r="K94" s="486">
        <v>6362</v>
      </c>
      <c r="L94" s="189" t="s">
        <v>845</v>
      </c>
      <c r="M94" s="520" t="s">
        <v>1053</v>
      </c>
      <c r="N94" s="535" t="s">
        <v>0</v>
      </c>
      <c r="O94" s="505" t="s">
        <v>772</v>
      </c>
      <c r="P94" s="23"/>
      <c r="Q94" s="23"/>
      <c r="R94" s="23"/>
      <c r="S94" s="23"/>
      <c r="T94" s="23"/>
      <c r="U94" s="23"/>
      <c r="V94" s="23"/>
      <c r="W94" s="23"/>
      <c r="X94" s="23"/>
      <c r="Y94" s="23"/>
      <c r="Z94" s="26"/>
      <c r="AA94" s="27"/>
      <c r="AB94" s="452"/>
    </row>
    <row r="95" spans="1:28" s="24" customFormat="1" ht="70">
      <c r="A95" s="20"/>
      <c r="B95" s="342" t="s">
        <v>0</v>
      </c>
      <c r="C95" s="71" t="s">
        <v>1030</v>
      </c>
      <c r="D95" s="401" t="s">
        <v>1160</v>
      </c>
      <c r="E95" s="542" t="s">
        <v>1305</v>
      </c>
      <c r="F95" s="70" t="s">
        <v>154</v>
      </c>
      <c r="G95" s="70" t="s">
        <v>401</v>
      </c>
      <c r="H95" s="156">
        <v>10.215</v>
      </c>
      <c r="I95" s="101" t="s">
        <v>28</v>
      </c>
      <c r="J95" s="174" t="s">
        <v>402</v>
      </c>
      <c r="K95" s="448">
        <v>20000</v>
      </c>
      <c r="L95" s="498" t="s">
        <v>92</v>
      </c>
      <c r="M95" s="516" t="s">
        <v>1307</v>
      </c>
      <c r="N95" s="534" t="s">
        <v>6</v>
      </c>
      <c r="O95" s="498" t="s">
        <v>504</v>
      </c>
      <c r="P95" s="21"/>
      <c r="Q95" s="21"/>
      <c r="R95" s="21"/>
      <c r="S95" s="21"/>
      <c r="T95" s="21"/>
      <c r="U95" s="21"/>
      <c r="V95" s="21"/>
      <c r="W95" s="21"/>
      <c r="X95" s="21"/>
      <c r="Y95" s="21"/>
      <c r="Z95" s="26">
        <f t="shared" si="14"/>
        <v>0</v>
      </c>
      <c r="AA95" s="27">
        <f>Z95-K96</f>
        <v>-25000</v>
      </c>
      <c r="AB95" s="452"/>
    </row>
    <row r="96" spans="1:28" s="50" customFormat="1">
      <c r="A96" s="43"/>
      <c r="B96" s="342" t="s">
        <v>0</v>
      </c>
      <c r="C96" s="424"/>
      <c r="D96" s="22" t="s">
        <v>672</v>
      </c>
      <c r="E96" s="542" t="s">
        <v>1306</v>
      </c>
      <c r="F96" s="21" t="s">
        <v>673</v>
      </c>
      <c r="G96" s="21"/>
      <c r="H96" s="176">
        <v>11.007999999999999</v>
      </c>
      <c r="I96" s="175">
        <v>43040</v>
      </c>
      <c r="J96" s="192">
        <v>43344</v>
      </c>
      <c r="K96" s="486">
        <v>25000</v>
      </c>
      <c r="L96" s="769"/>
      <c r="M96" s="516" t="s">
        <v>1307</v>
      </c>
      <c r="N96" s="535" t="s">
        <v>6</v>
      </c>
      <c r="O96" s="189"/>
      <c r="P96" s="102"/>
      <c r="Q96" s="102"/>
      <c r="R96" s="102"/>
      <c r="S96" s="102"/>
      <c r="T96" s="102"/>
      <c r="U96" s="102"/>
      <c r="V96" s="102"/>
      <c r="W96" s="102"/>
      <c r="X96" s="102"/>
      <c r="Y96" s="102"/>
      <c r="Z96" s="26"/>
      <c r="AA96" s="27"/>
      <c r="AB96" s="452"/>
    </row>
    <row r="97" spans="1:28" s="50" customFormat="1" ht="28">
      <c r="A97" s="43"/>
      <c r="B97" s="342" t="s">
        <v>0</v>
      </c>
      <c r="C97" s="71" t="s">
        <v>20</v>
      </c>
      <c r="D97" s="71" t="s">
        <v>180</v>
      </c>
      <c r="E97" s="542" t="s">
        <v>1306</v>
      </c>
      <c r="F97" s="73" t="s">
        <v>87</v>
      </c>
      <c r="G97" s="73" t="s">
        <v>295</v>
      </c>
      <c r="H97" s="156">
        <v>15.657</v>
      </c>
      <c r="I97" s="101" t="s">
        <v>59</v>
      </c>
      <c r="J97" s="138" t="s">
        <v>36</v>
      </c>
      <c r="K97" s="448">
        <v>200000</v>
      </c>
      <c r="L97" s="498" t="s">
        <v>95</v>
      </c>
      <c r="M97" s="516" t="s">
        <v>1307</v>
      </c>
      <c r="N97" s="534" t="s">
        <v>6</v>
      </c>
      <c r="O97" s="498" t="s">
        <v>505</v>
      </c>
      <c r="P97" s="102"/>
      <c r="Q97" s="102"/>
      <c r="R97" s="102"/>
      <c r="S97" s="102"/>
      <c r="T97" s="102"/>
      <c r="U97" s="102"/>
      <c r="V97" s="102"/>
      <c r="W97" s="102"/>
      <c r="X97" s="102"/>
      <c r="Y97" s="102"/>
      <c r="Z97" s="26"/>
      <c r="AA97" s="27"/>
      <c r="AB97" s="452"/>
    </row>
    <row r="98" spans="1:28" s="50" customFormat="1" ht="28">
      <c r="A98" s="43"/>
      <c r="B98" s="342" t="s">
        <v>0</v>
      </c>
      <c r="C98" s="71" t="s">
        <v>20</v>
      </c>
      <c r="D98" s="71" t="s">
        <v>165</v>
      </c>
      <c r="E98" s="542" t="s">
        <v>1306</v>
      </c>
      <c r="F98" s="70" t="s">
        <v>166</v>
      </c>
      <c r="G98" s="70" t="s">
        <v>295</v>
      </c>
      <c r="H98" s="156">
        <v>15.657</v>
      </c>
      <c r="I98" s="101" t="s">
        <v>32</v>
      </c>
      <c r="J98" s="138" t="s">
        <v>36</v>
      </c>
      <c r="K98" s="448">
        <v>88731</v>
      </c>
      <c r="L98" s="498" t="s">
        <v>95</v>
      </c>
      <c r="M98" s="516" t="s">
        <v>1307</v>
      </c>
      <c r="N98" s="534" t="s">
        <v>6</v>
      </c>
      <c r="O98" s="498" t="s">
        <v>505</v>
      </c>
      <c r="P98" s="102"/>
      <c r="Q98" s="102"/>
      <c r="R98" s="102"/>
      <c r="S98" s="102"/>
      <c r="T98" s="102"/>
      <c r="U98" s="102"/>
      <c r="V98" s="102"/>
      <c r="W98" s="102"/>
      <c r="X98" s="102"/>
      <c r="Y98" s="102"/>
      <c r="Z98" s="26"/>
      <c r="AA98" s="27"/>
      <c r="AB98" s="452"/>
    </row>
    <row r="99" spans="1:28" s="24" customFormat="1" ht="84">
      <c r="A99" s="20"/>
      <c r="B99" s="342" t="s">
        <v>0</v>
      </c>
      <c r="C99" s="71" t="s">
        <v>1033</v>
      </c>
      <c r="D99" s="358" t="s">
        <v>332</v>
      </c>
      <c r="E99" s="542" t="s">
        <v>1305</v>
      </c>
      <c r="F99" s="73" t="s">
        <v>156</v>
      </c>
      <c r="G99" s="73" t="s">
        <v>333</v>
      </c>
      <c r="H99" s="156">
        <v>10.215</v>
      </c>
      <c r="I99" s="101" t="s">
        <v>63</v>
      </c>
      <c r="J99" s="138" t="s">
        <v>157</v>
      </c>
      <c r="K99" s="448">
        <v>47899</v>
      </c>
      <c r="L99" s="498" t="s">
        <v>92</v>
      </c>
      <c r="M99" s="516" t="s">
        <v>1307</v>
      </c>
      <c r="N99" s="534" t="s">
        <v>6</v>
      </c>
      <c r="O99" s="498" t="s">
        <v>334</v>
      </c>
      <c r="P99" s="21"/>
      <c r="Q99" s="21"/>
      <c r="R99" s="21"/>
      <c r="S99" s="21"/>
      <c r="T99" s="21"/>
      <c r="U99" s="21"/>
      <c r="V99" s="21"/>
      <c r="W99" s="21"/>
      <c r="X99" s="21"/>
      <c r="Y99" s="21"/>
      <c r="Z99" s="26">
        <f t="shared" si="14"/>
        <v>0</v>
      </c>
      <c r="AA99" s="27">
        <f>Z99-K100</f>
        <v>-1118297</v>
      </c>
      <c r="AB99" s="452"/>
    </row>
    <row r="100" spans="1:28" s="24" customFormat="1" ht="42">
      <c r="A100" s="20"/>
      <c r="B100" s="342" t="s">
        <v>0</v>
      </c>
      <c r="C100" s="22" t="s">
        <v>598</v>
      </c>
      <c r="D100" s="22" t="s">
        <v>830</v>
      </c>
      <c r="E100" s="542" t="s">
        <v>1305</v>
      </c>
      <c r="F100" s="85" t="s">
        <v>391</v>
      </c>
      <c r="G100" s="21" t="s">
        <v>281</v>
      </c>
      <c r="H100" s="176">
        <v>10.5</v>
      </c>
      <c r="I100" s="175">
        <v>41548</v>
      </c>
      <c r="J100" s="192">
        <v>43373</v>
      </c>
      <c r="K100" s="486">
        <v>1118297</v>
      </c>
      <c r="L100" s="189" t="s">
        <v>393</v>
      </c>
      <c r="M100" s="520" t="s">
        <v>1053</v>
      </c>
      <c r="N100" s="535" t="s">
        <v>0</v>
      </c>
      <c r="O100" s="189" t="s">
        <v>831</v>
      </c>
      <c r="P100" s="21"/>
      <c r="Q100" s="21"/>
      <c r="R100" s="21"/>
      <c r="S100" s="21"/>
      <c r="T100" s="21"/>
      <c r="U100" s="21"/>
      <c r="V100" s="21"/>
      <c r="W100" s="21"/>
      <c r="X100" s="21"/>
      <c r="Y100" s="21"/>
      <c r="Z100" s="26">
        <f t="shared" si="14"/>
        <v>0</v>
      </c>
      <c r="AA100" s="27">
        <f>Z100-K101</f>
        <v>-1223034</v>
      </c>
      <c r="AB100" s="452"/>
    </row>
    <row r="101" spans="1:28" s="24" customFormat="1">
      <c r="A101" s="20"/>
      <c r="B101" s="342" t="s">
        <v>0</v>
      </c>
      <c r="C101" s="22" t="s">
        <v>598</v>
      </c>
      <c r="D101" s="22" t="s">
        <v>832</v>
      </c>
      <c r="E101" s="542" t="s">
        <v>1305</v>
      </c>
      <c r="F101" s="81" t="s">
        <v>833</v>
      </c>
      <c r="G101" s="21" t="s">
        <v>388</v>
      </c>
      <c r="H101" s="176">
        <v>10.5</v>
      </c>
      <c r="I101" s="175">
        <v>41913</v>
      </c>
      <c r="J101" s="192">
        <v>43738</v>
      </c>
      <c r="K101" s="486">
        <v>1223034</v>
      </c>
      <c r="L101" s="189" t="s">
        <v>393</v>
      </c>
      <c r="M101" s="520" t="s">
        <v>1053</v>
      </c>
      <c r="N101" s="535" t="s">
        <v>0</v>
      </c>
      <c r="O101" s="508" t="s">
        <v>772</v>
      </c>
      <c r="P101" s="21"/>
      <c r="Q101" s="21"/>
      <c r="R101" s="21"/>
      <c r="S101" s="21"/>
      <c r="T101" s="21"/>
      <c r="U101" s="21"/>
      <c r="V101" s="21"/>
      <c r="W101" s="21"/>
      <c r="X101" s="21"/>
      <c r="Y101" s="21"/>
      <c r="Z101" s="26"/>
      <c r="AA101" s="27"/>
      <c r="AB101" s="452"/>
    </row>
    <row r="102" spans="1:28" s="24" customFormat="1">
      <c r="A102" s="20"/>
      <c r="B102" s="342" t="s">
        <v>0</v>
      </c>
      <c r="C102" s="22" t="s">
        <v>598</v>
      </c>
      <c r="D102" s="22" t="s">
        <v>834</v>
      </c>
      <c r="E102" s="542" t="s">
        <v>1305</v>
      </c>
      <c r="F102" s="81" t="s">
        <v>391</v>
      </c>
      <c r="G102" s="21" t="s">
        <v>389</v>
      </c>
      <c r="H102" s="176">
        <v>10.5</v>
      </c>
      <c r="I102" s="175">
        <v>42278</v>
      </c>
      <c r="J102" s="192">
        <v>44104</v>
      </c>
      <c r="K102" s="486">
        <v>1327771</v>
      </c>
      <c r="L102" s="189" t="s">
        <v>393</v>
      </c>
      <c r="M102" s="520" t="s">
        <v>1053</v>
      </c>
      <c r="N102" s="535" t="s">
        <v>0</v>
      </c>
      <c r="O102" s="505" t="s">
        <v>772</v>
      </c>
      <c r="P102" s="21"/>
      <c r="Q102" s="21"/>
      <c r="R102" s="21"/>
      <c r="S102" s="21"/>
      <c r="T102" s="21"/>
      <c r="U102" s="21"/>
      <c r="V102" s="21"/>
      <c r="W102" s="21"/>
      <c r="X102" s="21"/>
      <c r="Y102" s="21"/>
      <c r="Z102" s="26"/>
      <c r="AA102" s="27"/>
      <c r="AB102" s="452"/>
    </row>
    <row r="103" spans="1:28" s="24" customFormat="1">
      <c r="A103" s="20"/>
      <c r="B103" s="342" t="s">
        <v>0</v>
      </c>
      <c r="C103" s="22" t="s">
        <v>598</v>
      </c>
      <c r="D103" s="22" t="s">
        <v>835</v>
      </c>
      <c r="E103" s="542" t="s">
        <v>1305</v>
      </c>
      <c r="F103" s="81" t="s">
        <v>390</v>
      </c>
      <c r="G103" s="21" t="s">
        <v>836</v>
      </c>
      <c r="H103" s="176">
        <v>10.5</v>
      </c>
      <c r="I103" s="175">
        <v>42644</v>
      </c>
      <c r="J103" s="192">
        <v>44469</v>
      </c>
      <c r="K103" s="486">
        <v>1426891</v>
      </c>
      <c r="L103" s="189" t="s">
        <v>837</v>
      </c>
      <c r="M103" s="520" t="s">
        <v>1053</v>
      </c>
      <c r="N103" s="535" t="s">
        <v>0</v>
      </c>
      <c r="O103" s="505" t="s">
        <v>772</v>
      </c>
      <c r="P103" s="21"/>
      <c r="Q103" s="21"/>
      <c r="R103" s="21"/>
      <c r="S103" s="21"/>
      <c r="T103" s="21"/>
      <c r="U103" s="21"/>
      <c r="V103" s="21"/>
      <c r="W103" s="21"/>
      <c r="X103" s="21"/>
      <c r="Y103" s="21"/>
      <c r="Z103" s="26">
        <f t="shared" si="14"/>
        <v>0</v>
      </c>
      <c r="AA103" s="27">
        <f>Z103-K104</f>
        <v>-620660</v>
      </c>
      <c r="AB103" s="452"/>
    </row>
    <row r="104" spans="1:28" s="24" customFormat="1">
      <c r="A104" s="20"/>
      <c r="B104" s="342" t="s">
        <v>0</v>
      </c>
      <c r="C104" s="22" t="s">
        <v>598</v>
      </c>
      <c r="D104" s="22" t="s">
        <v>838</v>
      </c>
      <c r="E104" s="542" t="s">
        <v>1305</v>
      </c>
      <c r="F104" s="81" t="s">
        <v>391</v>
      </c>
      <c r="G104" s="21" t="s">
        <v>839</v>
      </c>
      <c r="H104" s="176">
        <v>10.5</v>
      </c>
      <c r="I104" s="175">
        <v>43009</v>
      </c>
      <c r="J104" s="192">
        <v>44834</v>
      </c>
      <c r="K104" s="486">
        <v>620660</v>
      </c>
      <c r="L104" s="189" t="s">
        <v>837</v>
      </c>
      <c r="M104" s="520" t="s">
        <v>1053</v>
      </c>
      <c r="N104" s="535" t="s">
        <v>0</v>
      </c>
      <c r="O104" s="505" t="s">
        <v>772</v>
      </c>
      <c r="P104" s="21"/>
      <c r="Q104" s="21"/>
      <c r="R104" s="21"/>
      <c r="S104" s="21"/>
      <c r="T104" s="21"/>
      <c r="U104" s="21"/>
      <c r="V104" s="21"/>
      <c r="W104" s="21"/>
      <c r="X104" s="21"/>
      <c r="Y104" s="21"/>
      <c r="Z104" s="26">
        <f t="shared" si="14"/>
        <v>0</v>
      </c>
      <c r="AA104" s="27">
        <f>Z104-K105</f>
        <v>-266737</v>
      </c>
      <c r="AB104" s="452"/>
    </row>
    <row r="105" spans="1:28" s="24" customFormat="1" ht="28">
      <c r="A105" s="20"/>
      <c r="B105" s="342" t="s">
        <v>0</v>
      </c>
      <c r="C105" s="22" t="s">
        <v>870</v>
      </c>
      <c r="D105" s="22" t="s">
        <v>1044</v>
      </c>
      <c r="E105" s="542" t="s">
        <v>1305</v>
      </c>
      <c r="F105" s="21" t="s">
        <v>871</v>
      </c>
      <c r="G105" s="21" t="s">
        <v>872</v>
      </c>
      <c r="H105" s="176">
        <v>10.561</v>
      </c>
      <c r="I105" s="175">
        <v>42571</v>
      </c>
      <c r="J105" s="192">
        <v>43463</v>
      </c>
      <c r="K105" s="486">
        <v>266737</v>
      </c>
      <c r="L105" s="189" t="s">
        <v>840</v>
      </c>
      <c r="M105" s="520" t="s">
        <v>1053</v>
      </c>
      <c r="N105" s="535" t="s">
        <v>0</v>
      </c>
      <c r="O105" s="499" t="s">
        <v>873</v>
      </c>
      <c r="P105" s="21"/>
      <c r="Q105" s="21"/>
      <c r="R105" s="21"/>
      <c r="S105" s="21"/>
      <c r="T105" s="21"/>
      <c r="U105" s="21"/>
      <c r="V105" s="21"/>
      <c r="W105" s="21"/>
      <c r="X105" s="21"/>
      <c r="Y105" s="21"/>
      <c r="Z105" s="26">
        <f t="shared" si="14"/>
        <v>0</v>
      </c>
      <c r="AA105" s="27">
        <f>Z105-K106</f>
        <v>-213382</v>
      </c>
      <c r="AB105" s="452"/>
    </row>
    <row r="106" spans="1:28" s="24" customFormat="1">
      <c r="A106" s="20"/>
      <c r="B106" s="342" t="s">
        <v>0</v>
      </c>
      <c r="C106" s="22" t="s">
        <v>870</v>
      </c>
      <c r="D106" s="22" t="s">
        <v>1044</v>
      </c>
      <c r="E106" s="542" t="s">
        <v>1305</v>
      </c>
      <c r="F106" s="21" t="s">
        <v>874</v>
      </c>
      <c r="G106" s="21" t="s">
        <v>875</v>
      </c>
      <c r="H106" s="176">
        <v>10.561</v>
      </c>
      <c r="I106" s="175">
        <v>43009</v>
      </c>
      <c r="J106" s="192">
        <v>43738</v>
      </c>
      <c r="K106" s="486">
        <v>213382</v>
      </c>
      <c r="L106" s="189" t="s">
        <v>840</v>
      </c>
      <c r="M106" s="520" t="s">
        <v>1053</v>
      </c>
      <c r="N106" s="535" t="s">
        <v>0</v>
      </c>
      <c r="O106" s="505" t="s">
        <v>772</v>
      </c>
      <c r="P106" s="21"/>
      <c r="Q106" s="21"/>
      <c r="R106" s="21"/>
      <c r="S106" s="21"/>
      <c r="T106" s="21"/>
      <c r="U106" s="21"/>
      <c r="V106" s="21"/>
      <c r="W106" s="21"/>
      <c r="X106" s="21"/>
      <c r="Y106" s="21"/>
      <c r="Z106" s="26">
        <f t="shared" si="14"/>
        <v>0</v>
      </c>
      <c r="AA106" s="27">
        <f>Z106-K107</f>
        <v>-212900.9</v>
      </c>
      <c r="AB106" s="452"/>
    </row>
    <row r="107" spans="1:28" s="24" customFormat="1" ht="51">
      <c r="A107" s="20"/>
      <c r="B107" s="342" t="s">
        <v>0</v>
      </c>
      <c r="C107" s="71" t="s">
        <v>1032</v>
      </c>
      <c r="D107" s="71" t="s">
        <v>1045</v>
      </c>
      <c r="E107" s="542" t="s">
        <v>1305</v>
      </c>
      <c r="F107" s="70" t="s">
        <v>160</v>
      </c>
      <c r="G107" s="70" t="s">
        <v>327</v>
      </c>
      <c r="H107" s="156">
        <v>10.17</v>
      </c>
      <c r="I107" s="101" t="s">
        <v>161</v>
      </c>
      <c r="J107" s="142" t="s">
        <v>162</v>
      </c>
      <c r="K107" s="448">
        <v>212900.9</v>
      </c>
      <c r="L107" s="498" t="s">
        <v>429</v>
      </c>
      <c r="M107" s="516" t="s">
        <v>1307</v>
      </c>
      <c r="N107" s="534" t="s">
        <v>6</v>
      </c>
      <c r="O107" s="498" t="s">
        <v>328</v>
      </c>
      <c r="P107" s="21"/>
      <c r="Q107" s="21"/>
      <c r="R107" s="21"/>
      <c r="S107" s="21"/>
      <c r="T107" s="21"/>
      <c r="U107" s="21"/>
      <c r="V107" s="21"/>
      <c r="W107" s="21"/>
      <c r="X107" s="21"/>
      <c r="Y107" s="21"/>
      <c r="Z107" s="26"/>
      <c r="AA107" s="27"/>
      <c r="AB107" s="452"/>
    </row>
    <row r="108" spans="1:28" s="24" customFormat="1" ht="42">
      <c r="A108" s="20"/>
      <c r="B108" s="342" t="s">
        <v>0</v>
      </c>
      <c r="C108" s="22" t="s">
        <v>883</v>
      </c>
      <c r="D108" s="22" t="s">
        <v>1028</v>
      </c>
      <c r="E108" s="542" t="s">
        <v>1305</v>
      </c>
      <c r="F108" s="21" t="s">
        <v>884</v>
      </c>
      <c r="G108" s="21" t="s">
        <v>1027</v>
      </c>
      <c r="H108" s="176" t="s">
        <v>885</v>
      </c>
      <c r="I108" s="175">
        <v>42795</v>
      </c>
      <c r="J108" s="192">
        <v>43769</v>
      </c>
      <c r="K108" s="486">
        <v>4000</v>
      </c>
      <c r="L108" s="189" t="s">
        <v>857</v>
      </c>
      <c r="M108" s="520" t="s">
        <v>1053</v>
      </c>
      <c r="N108" s="535" t="s">
        <v>0</v>
      </c>
      <c r="O108" s="499" t="s">
        <v>886</v>
      </c>
      <c r="P108" s="21"/>
      <c r="Q108" s="21"/>
      <c r="R108" s="21"/>
      <c r="S108" s="21"/>
      <c r="T108" s="21"/>
      <c r="U108" s="21"/>
      <c r="V108" s="21"/>
      <c r="W108" s="21"/>
      <c r="X108" s="21"/>
      <c r="Y108" s="21"/>
      <c r="Z108" s="26"/>
      <c r="AA108" s="27"/>
      <c r="AB108" s="452"/>
    </row>
    <row r="109" spans="1:28" s="24" customFormat="1" ht="28">
      <c r="A109" s="20"/>
      <c r="B109" s="342" t="s">
        <v>0</v>
      </c>
      <c r="C109" s="22" t="s">
        <v>345</v>
      </c>
      <c r="D109" s="22" t="s">
        <v>794</v>
      </c>
      <c r="E109" s="542" t="s">
        <v>1305</v>
      </c>
      <c r="F109" s="21" t="s">
        <v>799</v>
      </c>
      <c r="G109" s="21" t="s">
        <v>800</v>
      </c>
      <c r="H109" s="176">
        <v>10.025</v>
      </c>
      <c r="I109" s="175">
        <v>42979</v>
      </c>
      <c r="J109" s="192">
        <v>43343</v>
      </c>
      <c r="K109" s="486">
        <v>38320</v>
      </c>
      <c r="L109" s="189" t="s">
        <v>797</v>
      </c>
      <c r="M109" s="520" t="s">
        <v>1052</v>
      </c>
      <c r="N109" s="535" t="s">
        <v>0</v>
      </c>
      <c r="O109" s="189" t="s">
        <v>798</v>
      </c>
      <c r="P109" s="21"/>
      <c r="Q109" s="21"/>
      <c r="R109" s="21"/>
      <c r="S109" s="21"/>
      <c r="T109" s="21"/>
      <c r="U109" s="21"/>
      <c r="V109" s="21"/>
      <c r="W109" s="21"/>
      <c r="X109" s="21"/>
      <c r="Y109" s="21"/>
      <c r="Z109" s="26"/>
      <c r="AA109" s="27"/>
      <c r="AB109" s="452"/>
    </row>
    <row r="110" spans="1:28" s="24" customFormat="1" ht="28">
      <c r="A110" s="20"/>
      <c r="B110" s="342" t="s">
        <v>0</v>
      </c>
      <c r="C110" s="22" t="s">
        <v>345</v>
      </c>
      <c r="D110" s="22" t="s">
        <v>794</v>
      </c>
      <c r="E110" s="542" t="s">
        <v>1305</v>
      </c>
      <c r="F110" s="21" t="s">
        <v>795</v>
      </c>
      <c r="G110" s="21" t="s">
        <v>796</v>
      </c>
      <c r="H110" s="176">
        <v>10.025</v>
      </c>
      <c r="I110" s="175">
        <v>42614</v>
      </c>
      <c r="J110" s="192">
        <v>43343</v>
      </c>
      <c r="K110" s="486">
        <v>38320</v>
      </c>
      <c r="L110" s="189" t="s">
        <v>797</v>
      </c>
      <c r="M110" s="520" t="s">
        <v>1052</v>
      </c>
      <c r="N110" s="535" t="s">
        <v>0</v>
      </c>
      <c r="O110" s="189" t="s">
        <v>798</v>
      </c>
      <c r="P110" s="21"/>
      <c r="Q110" s="21"/>
      <c r="R110" s="21"/>
      <c r="S110" s="21"/>
      <c r="T110" s="21"/>
      <c r="U110" s="21"/>
      <c r="V110" s="21"/>
      <c r="W110" s="21"/>
      <c r="X110" s="21"/>
      <c r="Y110" s="21"/>
      <c r="Z110" s="26"/>
      <c r="AA110" s="27"/>
      <c r="AB110" s="452"/>
    </row>
    <row r="111" spans="1:28" s="24" customFormat="1" ht="56">
      <c r="A111" s="20"/>
      <c r="B111" s="342" t="s">
        <v>0</v>
      </c>
      <c r="C111" s="45" t="s">
        <v>598</v>
      </c>
      <c r="D111" s="45" t="s">
        <v>1214</v>
      </c>
      <c r="E111" s="542" t="s">
        <v>1306</v>
      </c>
      <c r="F111" s="102" t="s">
        <v>1295</v>
      </c>
      <c r="G111" s="102" t="s">
        <v>1216</v>
      </c>
      <c r="H111" s="156">
        <v>10.321999999999999</v>
      </c>
      <c r="I111" s="422">
        <v>43344</v>
      </c>
      <c r="J111" s="423">
        <v>44074</v>
      </c>
      <c r="K111" s="489">
        <v>146732</v>
      </c>
      <c r="L111" s="723" t="s">
        <v>95</v>
      </c>
      <c r="M111" s="516" t="s">
        <v>1307</v>
      </c>
      <c r="N111" s="538" t="s">
        <v>6</v>
      </c>
      <c r="O111" s="289" t="s">
        <v>1215</v>
      </c>
      <c r="P111" s="21"/>
      <c r="Q111" s="21"/>
      <c r="R111" s="21"/>
      <c r="S111" s="21"/>
      <c r="T111" s="21"/>
      <c r="U111" s="21"/>
      <c r="V111" s="21"/>
      <c r="W111" s="21"/>
      <c r="X111" s="21"/>
      <c r="Y111" s="21"/>
      <c r="Z111" s="26"/>
      <c r="AA111" s="27"/>
      <c r="AB111" s="452"/>
    </row>
    <row r="112" spans="1:28" s="24" customFormat="1" ht="42">
      <c r="A112" s="20"/>
      <c r="B112" s="342" t="s">
        <v>0</v>
      </c>
      <c r="C112" s="22" t="s">
        <v>854</v>
      </c>
      <c r="D112" s="22" t="s">
        <v>801</v>
      </c>
      <c r="E112" s="542" t="s">
        <v>1305</v>
      </c>
      <c r="F112" s="21" t="s">
        <v>802</v>
      </c>
      <c r="G112" s="21" t="s">
        <v>803</v>
      </c>
      <c r="H112" s="176">
        <v>10.68</v>
      </c>
      <c r="I112" s="175">
        <v>42936</v>
      </c>
      <c r="J112" s="192">
        <v>43646</v>
      </c>
      <c r="K112" s="486">
        <v>20000</v>
      </c>
      <c r="L112" s="189" t="s">
        <v>792</v>
      </c>
      <c r="M112" s="520" t="s">
        <v>1052</v>
      </c>
      <c r="N112" s="535" t="s">
        <v>0</v>
      </c>
      <c r="O112" s="189" t="s">
        <v>804</v>
      </c>
      <c r="P112" s="21"/>
      <c r="Q112" s="21"/>
      <c r="R112" s="21"/>
      <c r="S112" s="21"/>
      <c r="T112" s="21"/>
      <c r="U112" s="21"/>
      <c r="V112" s="21"/>
      <c r="W112" s="21"/>
      <c r="X112" s="21"/>
      <c r="Y112" s="21"/>
      <c r="Z112" s="26"/>
      <c r="AA112" s="27"/>
      <c r="AB112" s="452"/>
    </row>
    <row r="113" spans="1:28" s="24" customFormat="1" ht="34">
      <c r="A113" s="20"/>
      <c r="B113" s="342" t="s">
        <v>0</v>
      </c>
      <c r="C113" s="22" t="s">
        <v>814</v>
      </c>
      <c r="D113" s="22" t="s">
        <v>1031</v>
      </c>
      <c r="E113" s="542" t="s">
        <v>1305</v>
      </c>
      <c r="F113" s="21" t="s">
        <v>815</v>
      </c>
      <c r="G113" s="21" t="s">
        <v>816</v>
      </c>
      <c r="H113" s="176">
        <v>10.304</v>
      </c>
      <c r="I113" s="175">
        <v>42614</v>
      </c>
      <c r="J113" s="192">
        <v>43343</v>
      </c>
      <c r="K113" s="486">
        <v>20608</v>
      </c>
      <c r="L113" s="189" t="s">
        <v>817</v>
      </c>
      <c r="M113" s="521" t="s">
        <v>1052</v>
      </c>
      <c r="N113" s="535" t="s">
        <v>0</v>
      </c>
      <c r="O113" s="189" t="s">
        <v>818</v>
      </c>
      <c r="P113" s="21"/>
      <c r="Q113" s="21"/>
      <c r="R113" s="21"/>
      <c r="S113" s="21"/>
      <c r="T113" s="21"/>
      <c r="U113" s="21"/>
      <c r="V113" s="21"/>
      <c r="W113" s="21"/>
      <c r="X113" s="21"/>
      <c r="Y113" s="21"/>
      <c r="Z113" s="26"/>
      <c r="AA113" s="27"/>
      <c r="AB113" s="452"/>
    </row>
    <row r="114" spans="1:28" s="24" customFormat="1">
      <c r="A114" s="20"/>
      <c r="B114" s="342" t="s">
        <v>0</v>
      </c>
      <c r="C114" s="22" t="s">
        <v>1011</v>
      </c>
      <c r="D114" s="22" t="s">
        <v>1049</v>
      </c>
      <c r="E114" s="542" t="s">
        <v>1305</v>
      </c>
      <c r="F114" s="21" t="s">
        <v>867</v>
      </c>
      <c r="G114" s="21" t="s">
        <v>869</v>
      </c>
      <c r="H114" s="176">
        <v>10.215</v>
      </c>
      <c r="I114" s="175">
        <v>41883</v>
      </c>
      <c r="J114" s="192">
        <v>43343</v>
      </c>
      <c r="K114" s="486">
        <v>63900</v>
      </c>
      <c r="L114" s="189" t="s">
        <v>857</v>
      </c>
      <c r="M114" s="520" t="s">
        <v>1053</v>
      </c>
      <c r="N114" s="535" t="s">
        <v>0</v>
      </c>
      <c r="O114" s="505"/>
      <c r="P114" s="21"/>
      <c r="Q114" s="21"/>
      <c r="R114" s="21"/>
      <c r="S114" s="21"/>
      <c r="T114" s="21"/>
      <c r="U114" s="21"/>
      <c r="V114" s="21"/>
      <c r="W114" s="21"/>
      <c r="X114" s="21"/>
      <c r="Y114" s="21"/>
      <c r="Z114" s="26"/>
      <c r="AA114" s="27"/>
      <c r="AB114" s="452"/>
    </row>
    <row r="115" spans="1:28" s="24" customFormat="1" ht="28">
      <c r="A115" s="20"/>
      <c r="B115" s="342" t="s">
        <v>0</v>
      </c>
      <c r="C115" s="22" t="s">
        <v>1011</v>
      </c>
      <c r="D115" s="22" t="s">
        <v>1049</v>
      </c>
      <c r="E115" s="542" t="s">
        <v>1305</v>
      </c>
      <c r="F115" s="21" t="s">
        <v>867</v>
      </c>
      <c r="G115" s="21">
        <v>130676015</v>
      </c>
      <c r="H115" s="176">
        <v>10.215</v>
      </c>
      <c r="I115" s="175">
        <v>41730</v>
      </c>
      <c r="J115" s="192">
        <v>42825</v>
      </c>
      <c r="K115" s="486">
        <v>47500</v>
      </c>
      <c r="L115" s="189" t="s">
        <v>857</v>
      </c>
      <c r="M115" s="522" t="s">
        <v>1053</v>
      </c>
      <c r="N115" s="535" t="s">
        <v>0</v>
      </c>
      <c r="O115" s="499" t="s">
        <v>868</v>
      </c>
      <c r="P115" s="21"/>
      <c r="Q115" s="21"/>
      <c r="R115" s="21"/>
      <c r="S115" s="21"/>
      <c r="T115" s="21"/>
      <c r="U115" s="21"/>
      <c r="V115" s="21"/>
      <c r="W115" s="21"/>
      <c r="X115" s="21"/>
      <c r="Y115" s="21"/>
      <c r="Z115" s="26"/>
      <c r="AA115" s="27"/>
      <c r="AB115" s="452"/>
    </row>
    <row r="116" spans="1:28" s="24" customFormat="1" ht="42">
      <c r="A116" s="20"/>
      <c r="B116" s="342" t="s">
        <v>0</v>
      </c>
      <c r="C116" s="410" t="s">
        <v>1011</v>
      </c>
      <c r="D116" s="401" t="s">
        <v>1046</v>
      </c>
      <c r="E116" s="542" t="s">
        <v>1305</v>
      </c>
      <c r="F116" s="70" t="s">
        <v>155</v>
      </c>
      <c r="G116" s="70" t="s">
        <v>325</v>
      </c>
      <c r="H116" s="156">
        <v>10.215</v>
      </c>
      <c r="I116" s="101" t="s">
        <v>33</v>
      </c>
      <c r="J116" s="142" t="s">
        <v>274</v>
      </c>
      <c r="K116" s="448">
        <v>25000</v>
      </c>
      <c r="L116" s="498" t="s">
        <v>92</v>
      </c>
      <c r="M116" s="516" t="s">
        <v>1307</v>
      </c>
      <c r="N116" s="534" t="s">
        <v>6</v>
      </c>
      <c r="O116" s="498" t="s">
        <v>326</v>
      </c>
      <c r="P116" s="21"/>
      <c r="Q116" s="21"/>
      <c r="R116" s="21"/>
      <c r="S116" s="21"/>
      <c r="T116" s="21"/>
      <c r="U116" s="21"/>
      <c r="V116" s="21"/>
      <c r="W116" s="21"/>
      <c r="X116" s="21"/>
      <c r="Y116" s="21"/>
      <c r="Z116" s="26"/>
      <c r="AA116" s="27"/>
      <c r="AB116" s="453"/>
    </row>
    <row r="117" spans="1:28" ht="42">
      <c r="B117" s="342" t="s">
        <v>0</v>
      </c>
      <c r="C117" s="410" t="s">
        <v>1011</v>
      </c>
      <c r="D117" s="45" t="s">
        <v>1047</v>
      </c>
      <c r="E117" s="542" t="s">
        <v>1305</v>
      </c>
      <c r="F117" s="73" t="s">
        <v>329</v>
      </c>
      <c r="G117" s="73" t="s">
        <v>330</v>
      </c>
      <c r="H117" s="156">
        <v>10.215</v>
      </c>
      <c r="I117" s="101" t="s">
        <v>32</v>
      </c>
      <c r="J117" s="138" t="s">
        <v>42</v>
      </c>
      <c r="K117" s="448">
        <v>25000</v>
      </c>
      <c r="L117" s="498" t="s">
        <v>92</v>
      </c>
      <c r="M117" s="516" t="s">
        <v>0</v>
      </c>
      <c r="N117" s="534" t="s">
        <v>6</v>
      </c>
      <c r="O117" s="498" t="s">
        <v>331</v>
      </c>
      <c r="AB117" s="453">
        <f>SUM(K35:K118)</f>
        <v>17104623.359999999</v>
      </c>
    </row>
    <row r="118" spans="1:28" s="63" customFormat="1">
      <c r="A118" s="57"/>
      <c r="B118" s="677"/>
      <c r="C118" s="678"/>
      <c r="D118" s="679"/>
      <c r="E118" s="680"/>
      <c r="F118" s="681"/>
      <c r="G118" s="682"/>
      <c r="H118" s="683"/>
      <c r="I118" s="684"/>
      <c r="J118" s="685"/>
      <c r="K118" s="686"/>
      <c r="L118" s="770"/>
      <c r="M118" s="687"/>
      <c r="N118" s="688"/>
      <c r="O118" s="689"/>
      <c r="P118" s="376"/>
      <c r="Q118" s="62">
        <v>184752</v>
      </c>
      <c r="R118" s="62"/>
      <c r="S118" s="62">
        <v>73901</v>
      </c>
      <c r="T118" s="62">
        <v>23558</v>
      </c>
      <c r="U118" s="62">
        <v>13000</v>
      </c>
      <c r="V118" s="62">
        <v>4000</v>
      </c>
      <c r="W118" s="62">
        <v>3000</v>
      </c>
      <c r="X118" s="62">
        <v>33989</v>
      </c>
      <c r="Y118" s="62">
        <v>26896</v>
      </c>
      <c r="Z118" s="26">
        <f t="shared" ref="Z118:Z120" si="15">SUM(P118:Y118)</f>
        <v>363096</v>
      </c>
      <c r="AA118" s="27">
        <f>Z118-K119</f>
        <v>-122897</v>
      </c>
      <c r="AB118" s="452"/>
    </row>
    <row r="119" spans="1:28" s="63" customFormat="1" ht="70">
      <c r="A119" s="57"/>
      <c r="B119" s="287" t="s">
        <v>135</v>
      </c>
      <c r="C119" s="289" t="s">
        <v>1300</v>
      </c>
      <c r="D119" s="45" t="s">
        <v>700</v>
      </c>
      <c r="E119" s="542" t="s">
        <v>1305</v>
      </c>
      <c r="F119" s="102" t="s">
        <v>965</v>
      </c>
      <c r="G119" s="287" t="s">
        <v>995</v>
      </c>
      <c r="H119" s="156">
        <v>94.006</v>
      </c>
      <c r="I119" s="101" t="s">
        <v>347</v>
      </c>
      <c r="J119" s="142" t="s">
        <v>352</v>
      </c>
      <c r="K119" s="448">
        <v>485993</v>
      </c>
      <c r="L119" s="723" t="s">
        <v>996</v>
      </c>
      <c r="M119" s="516" t="s">
        <v>135</v>
      </c>
      <c r="N119" s="530" t="s">
        <v>5</v>
      </c>
      <c r="O119" s="726" t="s">
        <v>994</v>
      </c>
      <c r="P119" s="376"/>
      <c r="Q119" s="62">
        <v>161460</v>
      </c>
      <c r="R119" s="62"/>
      <c r="S119" s="62">
        <v>62268</v>
      </c>
      <c r="T119" s="62">
        <v>6463</v>
      </c>
      <c r="U119" s="62">
        <v>3000</v>
      </c>
      <c r="V119" s="62">
        <v>3500</v>
      </c>
      <c r="W119" s="62">
        <v>1500</v>
      </c>
      <c r="X119" s="62">
        <v>38517.33</v>
      </c>
      <c r="Y119" s="62">
        <v>20496.669999999998</v>
      </c>
      <c r="Z119" s="26">
        <f t="shared" si="15"/>
        <v>297205</v>
      </c>
      <c r="AA119" s="27">
        <f>Z119-K120</f>
        <v>-65891</v>
      </c>
      <c r="AB119" s="452"/>
    </row>
    <row r="120" spans="1:28" s="63" customFormat="1" ht="28">
      <c r="A120" s="57"/>
      <c r="B120" s="287" t="s">
        <v>135</v>
      </c>
      <c r="C120" s="289" t="s">
        <v>120</v>
      </c>
      <c r="D120" s="45" t="s">
        <v>375</v>
      </c>
      <c r="E120" s="542" t="s">
        <v>1306</v>
      </c>
      <c r="F120" s="102" t="s">
        <v>962</v>
      </c>
      <c r="G120" s="287" t="s">
        <v>378</v>
      </c>
      <c r="H120" s="156" t="s">
        <v>123</v>
      </c>
      <c r="I120" s="101" t="s">
        <v>308</v>
      </c>
      <c r="J120" s="142" t="s">
        <v>350</v>
      </c>
      <c r="K120" s="448">
        <v>363096</v>
      </c>
      <c r="L120" s="723" t="s">
        <v>381</v>
      </c>
      <c r="M120" s="516" t="s">
        <v>135</v>
      </c>
      <c r="N120" s="530" t="s">
        <v>5</v>
      </c>
      <c r="O120" s="289" t="s">
        <v>384</v>
      </c>
      <c r="P120" s="376"/>
      <c r="Q120" s="62">
        <v>216187</v>
      </c>
      <c r="R120" s="62"/>
      <c r="S120" s="62">
        <v>70683</v>
      </c>
      <c r="T120" s="62">
        <v>34943</v>
      </c>
      <c r="U120" s="62">
        <v>7000</v>
      </c>
      <c r="V120" s="62">
        <v>2000</v>
      </c>
      <c r="W120" s="62">
        <v>1000</v>
      </c>
      <c r="X120" s="62">
        <v>53860</v>
      </c>
      <c r="Y120" s="62">
        <v>28339</v>
      </c>
      <c r="Z120" s="26">
        <f t="shared" si="15"/>
        <v>414012</v>
      </c>
      <c r="AA120" s="27">
        <f>Z120-K121</f>
        <v>116807</v>
      </c>
      <c r="AB120" s="452"/>
    </row>
    <row r="121" spans="1:28" s="63" customFormat="1" ht="42">
      <c r="A121" s="57"/>
      <c r="B121" s="287" t="s">
        <v>135</v>
      </c>
      <c r="C121" s="289" t="s">
        <v>120</v>
      </c>
      <c r="D121" s="45" t="s">
        <v>376</v>
      </c>
      <c r="E121" s="542" t="s">
        <v>1306</v>
      </c>
      <c r="F121" s="102" t="s">
        <v>963</v>
      </c>
      <c r="G121" s="287" t="s">
        <v>379</v>
      </c>
      <c r="H121" s="156" t="s">
        <v>121</v>
      </c>
      <c r="I121" s="101" t="s">
        <v>308</v>
      </c>
      <c r="J121" s="142" t="s">
        <v>350</v>
      </c>
      <c r="K121" s="448">
        <v>297205</v>
      </c>
      <c r="L121" s="723" t="s">
        <v>382</v>
      </c>
      <c r="M121" s="516" t="s">
        <v>135</v>
      </c>
      <c r="N121" s="530" t="s">
        <v>5</v>
      </c>
      <c r="O121" s="289" t="s">
        <v>385</v>
      </c>
      <c r="P121" s="92"/>
      <c r="Q121" s="92"/>
      <c r="R121" s="92"/>
      <c r="S121" s="92"/>
      <c r="T121" s="92"/>
      <c r="U121" s="92"/>
      <c r="V121" s="92"/>
      <c r="W121" s="92"/>
      <c r="X121" s="92"/>
      <c r="Y121" s="92"/>
      <c r="Z121" s="26"/>
      <c r="AA121" s="27"/>
      <c r="AB121" s="453"/>
    </row>
    <row r="122" spans="1:28" ht="28">
      <c r="B122" s="287" t="s">
        <v>135</v>
      </c>
      <c r="C122" s="289" t="s">
        <v>120</v>
      </c>
      <c r="D122" s="45" t="s">
        <v>377</v>
      </c>
      <c r="E122" s="542" t="s">
        <v>1306</v>
      </c>
      <c r="F122" s="102" t="s">
        <v>964</v>
      </c>
      <c r="G122" s="287" t="s">
        <v>380</v>
      </c>
      <c r="H122" s="156" t="s">
        <v>122</v>
      </c>
      <c r="I122" s="101" t="s">
        <v>308</v>
      </c>
      <c r="J122" s="142" t="s">
        <v>350</v>
      </c>
      <c r="K122" s="448">
        <v>424362</v>
      </c>
      <c r="L122" s="723" t="s">
        <v>383</v>
      </c>
      <c r="M122" s="516" t="s">
        <v>135</v>
      </c>
      <c r="N122" s="530" t="s">
        <v>5</v>
      </c>
      <c r="O122" s="289" t="s">
        <v>386</v>
      </c>
      <c r="AB122" s="453">
        <f>SUM(K119:K122)</f>
        <v>1570656</v>
      </c>
    </row>
    <row r="123" spans="1:28" s="63" customFormat="1">
      <c r="A123" s="57"/>
      <c r="B123" s="677"/>
      <c r="C123" s="678"/>
      <c r="D123" s="679"/>
      <c r="E123" s="680"/>
      <c r="F123" s="681"/>
      <c r="G123" s="682"/>
      <c r="H123" s="683"/>
      <c r="I123" s="684"/>
      <c r="J123" s="685"/>
      <c r="K123" s="686"/>
      <c r="L123" s="770"/>
      <c r="M123" s="687"/>
      <c r="N123" s="688"/>
      <c r="O123" s="689"/>
      <c r="P123" s="376"/>
      <c r="Q123" s="62">
        <f>14725+12000</f>
        <v>26725</v>
      </c>
      <c r="R123" s="62"/>
      <c r="S123" s="62">
        <v>2208.75</v>
      </c>
      <c r="T123" s="62">
        <v>4395</v>
      </c>
      <c r="U123" s="62">
        <v>29000</v>
      </c>
      <c r="V123" s="62">
        <v>7464.25</v>
      </c>
      <c r="W123" s="62"/>
      <c r="X123" s="62"/>
      <c r="Y123" s="62">
        <v>8690</v>
      </c>
      <c r="Z123" s="26">
        <f t="shared" ref="Z123:Z132" si="16">SUM(P123:Y123)</f>
        <v>78483</v>
      </c>
      <c r="AA123" s="27">
        <f>Z123-K125</f>
        <v>78483</v>
      </c>
      <c r="AB123" s="452"/>
    </row>
    <row r="124" spans="1:28" s="756" customFormat="1" ht="197" customHeight="1">
      <c r="A124" s="750"/>
      <c r="B124" s="694" t="s">
        <v>1313</v>
      </c>
      <c r="C124" s="753" t="s">
        <v>1426</v>
      </c>
      <c r="D124" s="636" t="s">
        <v>1427</v>
      </c>
      <c r="E124" s="626"/>
      <c r="F124" s="749"/>
      <c r="G124" s="751"/>
      <c r="H124" s="757"/>
      <c r="I124" s="758"/>
      <c r="J124" s="759"/>
      <c r="K124" s="752"/>
      <c r="L124" s="753" t="s">
        <v>1429</v>
      </c>
      <c r="M124" s="629" t="s">
        <v>1313</v>
      </c>
      <c r="N124" s="736"/>
      <c r="O124" s="636" t="s">
        <v>1425</v>
      </c>
      <c r="P124" s="695"/>
      <c r="Q124" s="696"/>
      <c r="R124" s="696"/>
      <c r="S124" s="696"/>
      <c r="T124" s="696"/>
      <c r="U124" s="696"/>
      <c r="V124" s="696"/>
      <c r="W124" s="696"/>
      <c r="X124" s="696"/>
      <c r="Y124" s="696"/>
      <c r="Z124" s="754"/>
      <c r="AA124" s="755"/>
      <c r="AB124" s="760"/>
    </row>
    <row r="125" spans="1:28" s="649" customFormat="1" ht="68">
      <c r="A125" s="652"/>
      <c r="B125" s="628" t="s">
        <v>1313</v>
      </c>
      <c r="C125" s="631" t="s">
        <v>1410</v>
      </c>
      <c r="D125" s="615" t="s">
        <v>1412</v>
      </c>
      <c r="E125" s="626"/>
      <c r="F125" s="749"/>
      <c r="G125" s="744"/>
      <c r="H125" s="617"/>
      <c r="I125" s="634"/>
      <c r="J125" s="174"/>
      <c r="K125" s="745"/>
      <c r="L125" s="615" t="s">
        <v>659</v>
      </c>
      <c r="M125" s="629" t="s">
        <v>1313</v>
      </c>
      <c r="N125" s="746"/>
      <c r="O125" s="636" t="s">
        <v>1411</v>
      </c>
      <c r="P125" s="747"/>
      <c r="Q125" s="647"/>
      <c r="R125" s="647"/>
      <c r="S125" s="647"/>
      <c r="T125" s="647"/>
      <c r="U125" s="647"/>
      <c r="V125" s="647"/>
      <c r="W125" s="647"/>
      <c r="X125" s="647"/>
      <c r="Y125" s="647"/>
      <c r="Z125" s="622"/>
      <c r="AA125" s="623"/>
      <c r="AB125" s="748"/>
    </row>
    <row r="126" spans="1:28" s="63" customFormat="1">
      <c r="A126" s="57"/>
      <c r="B126" s="690"/>
      <c r="C126" s="689"/>
      <c r="D126" s="679"/>
      <c r="E126" s="680"/>
      <c r="F126" s="681"/>
      <c r="G126" s="739"/>
      <c r="H126" s="740"/>
      <c r="I126" s="741"/>
      <c r="J126" s="742"/>
      <c r="K126" s="686"/>
      <c r="L126" s="689"/>
      <c r="M126" s="690"/>
      <c r="N126" s="743"/>
      <c r="O126" s="689"/>
      <c r="P126" s="376"/>
      <c r="Q126" s="62"/>
      <c r="R126" s="62"/>
      <c r="S126" s="62"/>
      <c r="T126" s="62"/>
      <c r="U126" s="62"/>
      <c r="V126" s="62"/>
      <c r="W126" s="62"/>
      <c r="X126" s="62"/>
      <c r="Y126" s="62"/>
      <c r="Z126" s="26"/>
      <c r="AA126" s="27"/>
      <c r="AB126" s="452"/>
    </row>
    <row r="127" spans="1:28" s="63" customFormat="1" ht="42">
      <c r="A127" s="57"/>
      <c r="B127" s="287" t="s">
        <v>1416</v>
      </c>
      <c r="C127" s="289" t="s">
        <v>912</v>
      </c>
      <c r="D127" s="45" t="s">
        <v>913</v>
      </c>
      <c r="E127" s="542" t="s">
        <v>1305</v>
      </c>
      <c r="F127" s="128" t="s">
        <v>914</v>
      </c>
      <c r="G127" s="282" t="s">
        <v>915</v>
      </c>
      <c r="H127" s="156">
        <v>11.481999999999999</v>
      </c>
      <c r="I127" s="101" t="s">
        <v>916</v>
      </c>
      <c r="J127" s="138" t="s">
        <v>898</v>
      </c>
      <c r="K127" s="448">
        <v>55000</v>
      </c>
      <c r="L127" s="723" t="s">
        <v>101</v>
      </c>
      <c r="M127" s="516" t="s">
        <v>1310</v>
      </c>
      <c r="N127" s="530" t="s">
        <v>6</v>
      </c>
      <c r="O127" s="289" t="s">
        <v>917</v>
      </c>
      <c r="P127" s="376"/>
      <c r="Q127" s="62">
        <v>33140</v>
      </c>
      <c r="R127" s="62"/>
      <c r="S127" s="62">
        <v>8532.07</v>
      </c>
      <c r="T127" s="62">
        <v>3570</v>
      </c>
      <c r="U127" s="62">
        <v>8750</v>
      </c>
      <c r="V127" s="62">
        <v>27515.03</v>
      </c>
      <c r="W127" s="62"/>
      <c r="X127" s="62">
        <v>2714.4</v>
      </c>
      <c r="Y127" s="62">
        <v>5799.5</v>
      </c>
      <c r="Z127" s="26">
        <f t="shared" ref="Z127" si="17">SUM(P127:Y127)</f>
        <v>90021</v>
      </c>
      <c r="AA127" s="27">
        <f>Z127-K130</f>
        <v>-309973</v>
      </c>
      <c r="AB127" s="452"/>
    </row>
    <row r="128" spans="1:28" s="63" customFormat="1" ht="34">
      <c r="A128" s="57"/>
      <c r="B128" s="287" t="s">
        <v>1416</v>
      </c>
      <c r="C128" s="289" t="s">
        <v>243</v>
      </c>
      <c r="D128" s="45" t="s">
        <v>318</v>
      </c>
      <c r="E128" s="542" t="s">
        <v>1306</v>
      </c>
      <c r="F128" s="128" t="s">
        <v>153</v>
      </c>
      <c r="G128" s="282" t="s">
        <v>238</v>
      </c>
      <c r="H128" s="156">
        <v>15.945</v>
      </c>
      <c r="I128" s="101" t="s">
        <v>27</v>
      </c>
      <c r="J128" s="138" t="s">
        <v>908</v>
      </c>
      <c r="K128" s="448">
        <v>135021.17000000001</v>
      </c>
      <c r="L128" s="723" t="s">
        <v>101</v>
      </c>
      <c r="M128" s="516" t="s">
        <v>1310</v>
      </c>
      <c r="N128" s="530" t="s">
        <v>6</v>
      </c>
      <c r="O128" s="289" t="s">
        <v>317</v>
      </c>
      <c r="P128" s="376">
        <f>15000+9920</f>
        <v>24920</v>
      </c>
      <c r="Q128" s="62">
        <v>20800</v>
      </c>
      <c r="R128" s="62"/>
      <c r="S128" s="62">
        <v>1591</v>
      </c>
      <c r="T128" s="62"/>
      <c r="U128" s="62">
        <v>720</v>
      </c>
      <c r="V128" s="62">
        <v>4076</v>
      </c>
      <c r="W128" s="62"/>
      <c r="X128" s="62">
        <f>4000+3000</f>
        <v>7000</v>
      </c>
      <c r="Y128" s="62">
        <v>5911</v>
      </c>
      <c r="Z128" s="26">
        <f t="shared" si="16"/>
        <v>65018</v>
      </c>
      <c r="AA128" s="27">
        <f>Z128-K129</f>
        <v>-334982</v>
      </c>
      <c r="AB128" s="452"/>
    </row>
    <row r="129" spans="1:28" s="63" customFormat="1" ht="34">
      <c r="A129" s="57"/>
      <c r="B129" s="70" t="s">
        <v>1416</v>
      </c>
      <c r="C129" s="71" t="s">
        <v>1241</v>
      </c>
      <c r="D129" s="71" t="s">
        <v>1218</v>
      </c>
      <c r="E129" s="542" t="s">
        <v>1305</v>
      </c>
      <c r="F129" s="73" t="s">
        <v>1219</v>
      </c>
      <c r="G129" s="93" t="s">
        <v>1220</v>
      </c>
      <c r="H129" s="156">
        <v>11.481999999999999</v>
      </c>
      <c r="I129" s="101" t="s">
        <v>1221</v>
      </c>
      <c r="J129" s="138" t="s">
        <v>898</v>
      </c>
      <c r="K129" s="448">
        <v>400000</v>
      </c>
      <c r="L129" s="498" t="s">
        <v>1222</v>
      </c>
      <c r="M129" s="516" t="s">
        <v>1310</v>
      </c>
      <c r="N129" s="534" t="s">
        <v>5</v>
      </c>
      <c r="O129" s="498" t="s">
        <v>301</v>
      </c>
      <c r="P129" s="62"/>
      <c r="Q129" s="62"/>
      <c r="R129" s="62"/>
      <c r="S129" s="62"/>
      <c r="T129" s="62"/>
      <c r="U129" s="62"/>
      <c r="V129" s="62"/>
      <c r="W129" s="62"/>
      <c r="X129" s="62"/>
      <c r="Y129" s="62"/>
      <c r="Z129" s="26"/>
      <c r="AA129" s="27"/>
      <c r="AB129" s="452"/>
    </row>
    <row r="130" spans="1:28" s="63" customFormat="1" ht="34">
      <c r="A130" s="57"/>
      <c r="B130" s="70" t="s">
        <v>1416</v>
      </c>
      <c r="C130" s="71" t="s">
        <v>539</v>
      </c>
      <c r="D130" s="71" t="s">
        <v>298</v>
      </c>
      <c r="E130" s="542" t="s">
        <v>1305</v>
      </c>
      <c r="F130" s="73" t="s">
        <v>968</v>
      </c>
      <c r="G130" s="93" t="s">
        <v>299</v>
      </c>
      <c r="H130" s="156">
        <v>11.481999999999999</v>
      </c>
      <c r="I130" s="101" t="s">
        <v>300</v>
      </c>
      <c r="J130" s="138" t="s">
        <v>341</v>
      </c>
      <c r="K130" s="448">
        <f>199997*2</f>
        <v>399994</v>
      </c>
      <c r="L130" s="498" t="s">
        <v>1222</v>
      </c>
      <c r="M130" s="516" t="s">
        <v>1310</v>
      </c>
      <c r="N130" s="534" t="s">
        <v>5</v>
      </c>
      <c r="O130" s="498" t="s">
        <v>301</v>
      </c>
      <c r="P130" s="62"/>
      <c r="Q130" s="62">
        <v>32272.720000000001</v>
      </c>
      <c r="R130" s="62"/>
      <c r="S130" s="62">
        <v>3263.64</v>
      </c>
      <c r="T130" s="62">
        <v>15000</v>
      </c>
      <c r="U130" s="62"/>
      <c r="V130" s="62">
        <v>2600</v>
      </c>
      <c r="W130" s="62"/>
      <c r="X130" s="62"/>
      <c r="Y130" s="62">
        <v>5863.64</v>
      </c>
      <c r="Z130" s="26">
        <f t="shared" si="16"/>
        <v>59000</v>
      </c>
      <c r="AA130" s="27">
        <f>Z130-K131</f>
        <v>-6018</v>
      </c>
      <c r="AB130" s="452"/>
    </row>
    <row r="131" spans="1:28" s="82" customFormat="1" ht="51">
      <c r="A131" s="57"/>
      <c r="B131" s="287" t="s">
        <v>1416</v>
      </c>
      <c r="C131" s="289" t="s">
        <v>173</v>
      </c>
      <c r="D131" s="45" t="s">
        <v>316</v>
      </c>
      <c r="E131" s="542" t="s">
        <v>1305</v>
      </c>
      <c r="F131" s="128" t="s">
        <v>175</v>
      </c>
      <c r="G131" s="286" t="s">
        <v>314</v>
      </c>
      <c r="H131" s="156"/>
      <c r="I131" s="101" t="s">
        <v>176</v>
      </c>
      <c r="J131" s="138" t="s">
        <v>177</v>
      </c>
      <c r="K131" s="448">
        <v>65018</v>
      </c>
      <c r="L131" s="723" t="s">
        <v>101</v>
      </c>
      <c r="M131" s="516" t="s">
        <v>1310</v>
      </c>
      <c r="N131" s="530" t="s">
        <v>6</v>
      </c>
      <c r="O131" s="289" t="s">
        <v>315</v>
      </c>
      <c r="P131" s="78"/>
      <c r="Q131" s="78">
        <v>41240.800000000003</v>
      </c>
      <c r="R131" s="78"/>
      <c r="S131" s="78">
        <v>12537.13</v>
      </c>
      <c r="T131" s="78">
        <v>2050</v>
      </c>
      <c r="U131" s="78">
        <v>6526.8</v>
      </c>
      <c r="V131" s="78">
        <v>748</v>
      </c>
      <c r="W131" s="78">
        <v>5955</v>
      </c>
      <c r="X131" s="78"/>
      <c r="Y131" s="78">
        <v>10906.69</v>
      </c>
      <c r="Z131" s="26">
        <f t="shared" si="16"/>
        <v>79964.420000000013</v>
      </c>
      <c r="AA131" s="27">
        <f>Z131-K132</f>
        <v>39982.420000000013</v>
      </c>
      <c r="AB131" s="455"/>
    </row>
    <row r="132" spans="1:28" s="82" customFormat="1" ht="70">
      <c r="A132" s="69"/>
      <c r="B132" s="290" t="s">
        <v>1416</v>
      </c>
      <c r="C132" s="323" t="s">
        <v>242</v>
      </c>
      <c r="D132" s="356" t="s">
        <v>408</v>
      </c>
      <c r="E132" s="543" t="s">
        <v>1306</v>
      </c>
      <c r="F132" s="203" t="s">
        <v>104</v>
      </c>
      <c r="G132" s="288" t="s">
        <v>319</v>
      </c>
      <c r="H132" s="163">
        <v>15.65</v>
      </c>
      <c r="I132" s="168" t="s">
        <v>105</v>
      </c>
      <c r="J132" s="169" t="s">
        <v>106</v>
      </c>
      <c r="K132" s="490">
        <v>39982</v>
      </c>
      <c r="L132" s="610" t="s">
        <v>100</v>
      </c>
      <c r="M132" s="523" t="s">
        <v>1310</v>
      </c>
      <c r="N132" s="531" t="s">
        <v>5</v>
      </c>
      <c r="O132" s="323" t="s">
        <v>506</v>
      </c>
      <c r="P132" s="69"/>
      <c r="Q132" s="92">
        <v>273003.68</v>
      </c>
      <c r="R132" s="92"/>
      <c r="S132" s="92">
        <v>98280</v>
      </c>
      <c r="T132" s="92"/>
      <c r="U132" s="92">
        <v>27000</v>
      </c>
      <c r="V132" s="92">
        <v>1710</v>
      </c>
      <c r="W132" s="92"/>
      <c r="X132" s="92"/>
      <c r="Y132" s="92"/>
      <c r="Z132" s="95">
        <f t="shared" si="16"/>
        <v>399993.68</v>
      </c>
      <c r="AA132" s="56">
        <f>Z132-K133</f>
        <v>185533.68</v>
      </c>
      <c r="AB132" s="455"/>
    </row>
    <row r="133" spans="1:28" s="82" customFormat="1" ht="68">
      <c r="A133" s="69"/>
      <c r="B133" s="287" t="s">
        <v>1416</v>
      </c>
      <c r="C133" s="289" t="s">
        <v>286</v>
      </c>
      <c r="D133" s="45" t="s">
        <v>305</v>
      </c>
      <c r="E133" s="542" t="s">
        <v>1306</v>
      </c>
      <c r="F133" s="128" t="s">
        <v>966</v>
      </c>
      <c r="G133" s="282" t="s">
        <v>307</v>
      </c>
      <c r="H133" s="156">
        <v>11.427</v>
      </c>
      <c r="I133" s="101" t="s">
        <v>308</v>
      </c>
      <c r="J133" s="174" t="s">
        <v>309</v>
      </c>
      <c r="K133" s="448">
        <v>214460</v>
      </c>
      <c r="L133" s="723" t="s">
        <v>310</v>
      </c>
      <c r="M133" s="519" t="s">
        <v>1310</v>
      </c>
      <c r="N133" s="530" t="s">
        <v>6</v>
      </c>
      <c r="O133" s="289" t="s">
        <v>311</v>
      </c>
      <c r="P133" s="69"/>
      <c r="Q133" s="92">
        <v>54000</v>
      </c>
      <c r="R133" s="92"/>
      <c r="S133" s="92">
        <v>16200</v>
      </c>
      <c r="T133" s="92">
        <v>27400</v>
      </c>
      <c r="U133" s="92">
        <v>80000</v>
      </c>
      <c r="V133" s="92">
        <v>5000</v>
      </c>
      <c r="W133" s="92"/>
      <c r="X133" s="92"/>
      <c r="Y133" s="92">
        <v>31860</v>
      </c>
      <c r="Z133" s="95">
        <f>SUM(P133:Y133)</f>
        <v>214460</v>
      </c>
      <c r="AA133" s="56">
        <f>Z133-K135</f>
        <v>159460</v>
      </c>
      <c r="AB133" s="455"/>
    </row>
    <row r="134" spans="1:28" s="661" customFormat="1" ht="51">
      <c r="A134" s="639"/>
      <c r="B134" s="628" t="s">
        <v>1416</v>
      </c>
      <c r="C134" s="631" t="s">
        <v>286</v>
      </c>
      <c r="D134" s="654" t="s">
        <v>1417</v>
      </c>
      <c r="E134" s="626"/>
      <c r="F134" s="749"/>
      <c r="G134" s="656" t="s">
        <v>1433</v>
      </c>
      <c r="H134" s="617"/>
      <c r="I134" s="634"/>
      <c r="J134" s="174"/>
      <c r="K134" s="660">
        <v>69768</v>
      </c>
      <c r="L134" s="765" t="s">
        <v>1418</v>
      </c>
      <c r="M134" s="762"/>
      <c r="N134" s="746"/>
      <c r="O134" s="631"/>
      <c r="P134" s="639"/>
      <c r="Q134" s="648"/>
      <c r="R134" s="648"/>
      <c r="S134" s="648"/>
      <c r="T134" s="648"/>
      <c r="U134" s="648"/>
      <c r="V134" s="648"/>
      <c r="W134" s="648"/>
      <c r="X134" s="648"/>
      <c r="Y134" s="648"/>
      <c r="Z134" s="666"/>
      <c r="AA134" s="763"/>
      <c r="AB134" s="764"/>
    </row>
    <row r="135" spans="1:28" s="82" customFormat="1" ht="28">
      <c r="A135" s="69"/>
      <c r="B135" s="287" t="s">
        <v>1416</v>
      </c>
      <c r="C135" s="289" t="s">
        <v>312</v>
      </c>
      <c r="D135" s="45" t="s">
        <v>239</v>
      </c>
      <c r="E135" s="542" t="s">
        <v>1305</v>
      </c>
      <c r="F135" s="46" t="s">
        <v>909</v>
      </c>
      <c r="G135" s="286" t="s">
        <v>240</v>
      </c>
      <c r="H135" s="156">
        <v>11.481999999999999</v>
      </c>
      <c r="I135" s="101" t="s">
        <v>540</v>
      </c>
      <c r="J135" s="142" t="s">
        <v>681</v>
      </c>
      <c r="K135" s="448">
        <v>55000</v>
      </c>
      <c r="L135" s="723" t="s">
        <v>90</v>
      </c>
      <c r="M135" s="516" t="s">
        <v>1310</v>
      </c>
      <c r="N135" s="530" t="s">
        <v>6</v>
      </c>
      <c r="O135" s="289" t="s">
        <v>313</v>
      </c>
      <c r="P135" s="69"/>
      <c r="Q135" s="92"/>
      <c r="R135" s="92"/>
      <c r="S135" s="92"/>
      <c r="T135" s="92"/>
      <c r="U135" s="92"/>
      <c r="V135" s="92"/>
      <c r="W135" s="92"/>
      <c r="X135" s="92"/>
      <c r="Y135" s="92"/>
      <c r="Z135" s="95"/>
      <c r="AA135" s="56"/>
      <c r="AB135" s="455"/>
    </row>
    <row r="136" spans="1:28" s="82" customFormat="1" ht="51">
      <c r="A136" s="69"/>
      <c r="B136" s="66" t="s">
        <v>1416</v>
      </c>
      <c r="C136" s="430" t="s">
        <v>1279</v>
      </c>
      <c r="D136" s="430" t="s">
        <v>1280</v>
      </c>
      <c r="E136" s="544" t="s">
        <v>1305</v>
      </c>
      <c r="F136" s="552" t="s">
        <v>1325</v>
      </c>
      <c r="G136" s="430" t="s">
        <v>1281</v>
      </c>
      <c r="H136" s="159"/>
      <c r="I136" s="150" t="s">
        <v>1282</v>
      </c>
      <c r="J136" s="150" t="s">
        <v>927</v>
      </c>
      <c r="K136" s="484">
        <v>72715</v>
      </c>
      <c r="L136" s="322" t="s">
        <v>90</v>
      </c>
      <c r="M136" s="524" t="s">
        <v>1310</v>
      </c>
      <c r="N136" s="532" t="s">
        <v>6</v>
      </c>
      <c r="O136" s="512" t="s">
        <v>1283</v>
      </c>
      <c r="P136" s="69"/>
      <c r="Q136" s="92"/>
      <c r="R136" s="92"/>
      <c r="S136" s="92"/>
      <c r="T136" s="92"/>
      <c r="U136" s="92"/>
      <c r="V136" s="92"/>
      <c r="W136" s="92"/>
      <c r="X136" s="92"/>
      <c r="Y136" s="92"/>
      <c r="Z136" s="95"/>
      <c r="AA136" s="56"/>
      <c r="AB136" s="455"/>
    </row>
    <row r="137" spans="1:28" s="82" customFormat="1" ht="51">
      <c r="A137" s="69"/>
      <c r="B137" s="287" t="s">
        <v>1416</v>
      </c>
      <c r="C137" s="289" t="s">
        <v>544</v>
      </c>
      <c r="D137" s="45" t="s">
        <v>320</v>
      </c>
      <c r="E137" s="542" t="s">
        <v>1306</v>
      </c>
      <c r="F137" s="128" t="s">
        <v>128</v>
      </c>
      <c r="G137" s="282" t="s">
        <v>241</v>
      </c>
      <c r="H137" s="156">
        <v>15.945</v>
      </c>
      <c r="I137" s="101" t="s">
        <v>713</v>
      </c>
      <c r="J137" s="138" t="s">
        <v>245</v>
      </c>
      <c r="K137" s="448">
        <v>79964.42</v>
      </c>
      <c r="L137" s="723" t="s">
        <v>100</v>
      </c>
      <c r="M137" s="516" t="s">
        <v>1310</v>
      </c>
      <c r="N137" s="530" t="s">
        <v>5</v>
      </c>
      <c r="O137" s="289" t="s">
        <v>321</v>
      </c>
      <c r="P137" s="69"/>
      <c r="Q137" s="92"/>
      <c r="R137" s="92"/>
      <c r="S137" s="92"/>
      <c r="T137" s="92"/>
      <c r="U137" s="92"/>
      <c r="V137" s="92"/>
      <c r="W137" s="92"/>
      <c r="X137" s="92"/>
      <c r="Y137" s="92"/>
      <c r="Z137" s="95"/>
      <c r="AA137" s="56"/>
      <c r="AB137" s="455"/>
    </row>
    <row r="138" spans="1:28" s="82" customFormat="1" ht="67" customHeight="1">
      <c r="A138" s="69"/>
      <c r="B138" s="287" t="s">
        <v>1416</v>
      </c>
      <c r="C138" s="289" t="s">
        <v>69</v>
      </c>
      <c r="D138" s="45" t="s">
        <v>302</v>
      </c>
      <c r="E138" s="542" t="s">
        <v>1306</v>
      </c>
      <c r="F138" s="102" t="s">
        <v>234</v>
      </c>
      <c r="G138" s="287" t="s">
        <v>235</v>
      </c>
      <c r="H138" s="156">
        <v>11.481999999999999</v>
      </c>
      <c r="I138" s="101" t="s">
        <v>236</v>
      </c>
      <c r="J138" s="142" t="s">
        <v>237</v>
      </c>
      <c r="K138" s="448">
        <v>78583</v>
      </c>
      <c r="L138" s="723" t="s">
        <v>303</v>
      </c>
      <c r="M138" s="519" t="s">
        <v>1310</v>
      </c>
      <c r="N138" s="530" t="s">
        <v>6</v>
      </c>
      <c r="O138" s="289" t="s">
        <v>304</v>
      </c>
      <c r="P138" s="69"/>
      <c r="Q138" s="92"/>
      <c r="R138" s="92"/>
      <c r="S138" s="92"/>
      <c r="T138" s="92"/>
      <c r="U138" s="92"/>
      <c r="V138" s="92"/>
      <c r="W138" s="92"/>
      <c r="X138" s="92"/>
      <c r="Y138" s="92"/>
      <c r="Z138" s="95"/>
      <c r="AA138" s="56"/>
      <c r="AB138" s="456"/>
    </row>
    <row r="139" spans="1:28" ht="42">
      <c r="B139" s="287" t="s">
        <v>1416</v>
      </c>
      <c r="C139" s="289" t="s">
        <v>680</v>
      </c>
      <c r="D139" s="71" t="s">
        <v>1240</v>
      </c>
      <c r="E139" s="542" t="s">
        <v>1306</v>
      </c>
      <c r="F139" s="128" t="s">
        <v>967</v>
      </c>
      <c r="G139" s="282"/>
      <c r="H139" s="156">
        <v>11.481999999999999</v>
      </c>
      <c r="I139" s="101" t="s">
        <v>308</v>
      </c>
      <c r="J139" s="138" t="s">
        <v>352</v>
      </c>
      <c r="K139" s="448">
        <v>48455.44</v>
      </c>
      <c r="L139" s="723" t="s">
        <v>910</v>
      </c>
      <c r="M139" s="519" t="s">
        <v>1310</v>
      </c>
      <c r="N139" s="530" t="s">
        <v>6</v>
      </c>
      <c r="O139" s="289" t="s">
        <v>911</v>
      </c>
      <c r="AB139" s="456">
        <f>SUM(K125:K139)</f>
        <v>1713961.0299999998</v>
      </c>
    </row>
    <row r="140" spans="1:28" s="100" customFormat="1">
      <c r="A140" s="97"/>
      <c r="B140" s="677"/>
      <c r="C140" s="678"/>
      <c r="D140" s="679"/>
      <c r="E140" s="680"/>
      <c r="F140" s="681"/>
      <c r="G140" s="682"/>
      <c r="H140" s="683"/>
      <c r="I140" s="684"/>
      <c r="J140" s="685"/>
      <c r="K140" s="686"/>
      <c r="L140" s="770"/>
      <c r="M140" s="687"/>
      <c r="N140" s="688"/>
      <c r="O140" s="689"/>
      <c r="P140" s="379"/>
      <c r="Q140" s="68"/>
      <c r="R140" s="68"/>
      <c r="S140" s="68"/>
      <c r="T140" s="68">
        <v>21150</v>
      </c>
      <c r="U140" s="68"/>
      <c r="V140" s="68"/>
      <c r="W140" s="68">
        <v>88850</v>
      </c>
      <c r="X140" s="68">
        <v>140000</v>
      </c>
      <c r="Y140" s="68"/>
      <c r="Z140" s="99"/>
      <c r="AA140" s="99"/>
      <c r="AB140" s="453"/>
    </row>
    <row r="141" spans="1:28" ht="51">
      <c r="B141" s="287" t="s">
        <v>54</v>
      </c>
      <c r="C141" s="289" t="s">
        <v>11</v>
      </c>
      <c r="D141" s="45" t="s">
        <v>231</v>
      </c>
      <c r="E141" s="542" t="s">
        <v>1306</v>
      </c>
      <c r="F141" s="102" t="s">
        <v>232</v>
      </c>
      <c r="G141" s="287">
        <v>1659182</v>
      </c>
      <c r="H141" s="156">
        <v>47.07</v>
      </c>
      <c r="I141" s="101" t="s">
        <v>44</v>
      </c>
      <c r="J141" s="138" t="s">
        <v>233</v>
      </c>
      <c r="K141" s="448">
        <v>250000</v>
      </c>
      <c r="L141" s="723" t="s">
        <v>56</v>
      </c>
      <c r="M141" s="516" t="s">
        <v>54</v>
      </c>
      <c r="N141" s="530" t="s">
        <v>6</v>
      </c>
      <c r="O141" s="289" t="s">
        <v>507</v>
      </c>
      <c r="AB141" s="453">
        <f>K141</f>
        <v>250000</v>
      </c>
    </row>
    <row r="142" spans="1:28" s="63" customFormat="1">
      <c r="A142" s="57"/>
      <c r="B142" s="677"/>
      <c r="C142" s="678"/>
      <c r="D142" s="679"/>
      <c r="E142" s="680"/>
      <c r="F142" s="681"/>
      <c r="G142" s="682"/>
      <c r="H142" s="683"/>
      <c r="I142" s="684"/>
      <c r="J142" s="685"/>
      <c r="K142" s="686"/>
      <c r="L142" s="770"/>
      <c r="M142" s="687"/>
      <c r="N142" s="688"/>
      <c r="O142" s="689"/>
      <c r="P142" s="376"/>
      <c r="Q142" s="62">
        <f>95800+30600+21300</f>
        <v>147700</v>
      </c>
      <c r="R142" s="62"/>
      <c r="S142" s="62">
        <v>36925</v>
      </c>
      <c r="T142" s="62"/>
      <c r="U142" s="62">
        <v>80000</v>
      </c>
      <c r="V142" s="62"/>
      <c r="W142" s="62"/>
      <c r="X142" s="62">
        <v>70531</v>
      </c>
      <c r="Y142" s="62"/>
      <c r="Z142" s="26">
        <f t="shared" ref="Z142:Z164" si="18">SUM(P142:Y142)</f>
        <v>335156</v>
      </c>
      <c r="AA142" s="27" t="e">
        <f>Z142-#REF!</f>
        <v>#REF!</v>
      </c>
      <c r="AB142" s="452"/>
    </row>
    <row r="143" spans="1:28" s="63" customFormat="1" ht="51">
      <c r="A143" s="57"/>
      <c r="B143" s="287" t="s">
        <v>16</v>
      </c>
      <c r="C143" s="289" t="s">
        <v>1326</v>
      </c>
      <c r="D143" s="45" t="s">
        <v>1189</v>
      </c>
      <c r="E143" s="542" t="s">
        <v>1306</v>
      </c>
      <c r="F143" s="46" t="s">
        <v>735</v>
      </c>
      <c r="G143" s="286" t="s">
        <v>610</v>
      </c>
      <c r="H143" s="156">
        <v>12.3</v>
      </c>
      <c r="I143" s="101" t="s">
        <v>611</v>
      </c>
      <c r="J143" s="142" t="s">
        <v>736</v>
      </c>
      <c r="K143" s="448">
        <v>117967</v>
      </c>
      <c r="L143" s="723" t="s">
        <v>99</v>
      </c>
      <c r="M143" s="516" t="s">
        <v>556</v>
      </c>
      <c r="N143" s="530" t="s">
        <v>6</v>
      </c>
      <c r="O143" s="289" t="s">
        <v>613</v>
      </c>
      <c r="P143" s="376"/>
      <c r="Q143" s="62">
        <f>3640+13525.2</f>
        <v>17165.2</v>
      </c>
      <c r="R143" s="62">
        <v>15444</v>
      </c>
      <c r="S143" s="62">
        <f>278.46+5545.33+1181.47</f>
        <v>7005.26</v>
      </c>
      <c r="T143" s="62"/>
      <c r="U143" s="62"/>
      <c r="V143" s="62">
        <v>385.54</v>
      </c>
      <c r="W143" s="62"/>
      <c r="X143" s="62"/>
      <c r="Y143" s="62"/>
      <c r="Z143" s="26">
        <f t="shared" ref="Z143" si="19">SUM(P143:Y143)</f>
        <v>40000</v>
      </c>
      <c r="AA143" s="27">
        <f>Z143-K145</f>
        <v>0</v>
      </c>
      <c r="AB143" s="452"/>
    </row>
    <row r="144" spans="1:28" s="63" customFormat="1" ht="28">
      <c r="A144" s="57"/>
      <c r="B144" s="287" t="s">
        <v>16</v>
      </c>
      <c r="C144" s="289" t="s">
        <v>9</v>
      </c>
      <c r="D144" s="45" t="s">
        <v>1193</v>
      </c>
      <c r="E144" s="542" t="s">
        <v>1306</v>
      </c>
      <c r="F144" s="46" t="s">
        <v>77</v>
      </c>
      <c r="G144" s="286" t="s">
        <v>198</v>
      </c>
      <c r="H144" s="156">
        <v>15.875</v>
      </c>
      <c r="I144" s="101" t="s">
        <v>23</v>
      </c>
      <c r="J144" s="138" t="s">
        <v>36</v>
      </c>
      <c r="K144" s="448">
        <v>335156</v>
      </c>
      <c r="L144" s="723" t="s">
        <v>91</v>
      </c>
      <c r="M144" s="516" t="s">
        <v>16</v>
      </c>
      <c r="N144" s="530" t="s">
        <v>6</v>
      </c>
      <c r="O144" s="289" t="s">
        <v>508</v>
      </c>
      <c r="P144" s="62"/>
      <c r="Q144" s="62">
        <v>50245</v>
      </c>
      <c r="R144" s="62"/>
      <c r="S144" s="62">
        <v>15074</v>
      </c>
      <c r="T144" s="62">
        <f>8558+865</f>
        <v>9423</v>
      </c>
      <c r="U144" s="62"/>
      <c r="V144" s="62"/>
      <c r="W144" s="62"/>
      <c r="X144" s="62"/>
      <c r="Y144" s="62">
        <v>12411</v>
      </c>
      <c r="Z144" s="26">
        <f t="shared" si="18"/>
        <v>87153</v>
      </c>
      <c r="AA144" s="27">
        <f t="shared" ref="AA144:AA150" si="20">Z144-K145</f>
        <v>47153</v>
      </c>
      <c r="AB144" s="452"/>
    </row>
    <row r="145" spans="1:28" s="63" customFormat="1" ht="34">
      <c r="A145" s="57"/>
      <c r="B145" s="287" t="s">
        <v>16</v>
      </c>
      <c r="C145" s="289" t="s">
        <v>1075</v>
      </c>
      <c r="D145" s="45" t="s">
        <v>1340</v>
      </c>
      <c r="E145" s="542" t="s">
        <v>1305</v>
      </c>
      <c r="F145" s="45" t="s">
        <v>76</v>
      </c>
      <c r="G145" s="287" t="s">
        <v>199</v>
      </c>
      <c r="H145" s="194">
        <v>15.875</v>
      </c>
      <c r="I145" s="101" t="s">
        <v>25</v>
      </c>
      <c r="J145" s="138" t="s">
        <v>38</v>
      </c>
      <c r="K145" s="448">
        <v>40000</v>
      </c>
      <c r="L145" s="540" t="s">
        <v>99</v>
      </c>
      <c r="M145" s="525" t="s">
        <v>556</v>
      </c>
      <c r="N145" s="530" t="s">
        <v>6</v>
      </c>
      <c r="O145" s="289" t="s">
        <v>200</v>
      </c>
      <c r="P145" s="62"/>
      <c r="Q145" s="62">
        <v>6000</v>
      </c>
      <c r="R145" s="62"/>
      <c r="S145" s="62">
        <v>459</v>
      </c>
      <c r="T145" s="62">
        <v>5000</v>
      </c>
      <c r="U145" s="62">
        <v>7200</v>
      </c>
      <c r="V145" s="62">
        <v>2500</v>
      </c>
      <c r="W145" s="62"/>
      <c r="X145" s="62">
        <v>14841</v>
      </c>
      <c r="Y145" s="62"/>
      <c r="Z145" s="26">
        <f t="shared" si="18"/>
        <v>36000</v>
      </c>
      <c r="AA145" s="27">
        <f t="shared" si="20"/>
        <v>10000</v>
      </c>
      <c r="AB145" s="452"/>
    </row>
    <row r="146" spans="1:28" s="63" customFormat="1" ht="34">
      <c r="A146" s="57"/>
      <c r="B146" s="287" t="s">
        <v>16</v>
      </c>
      <c r="C146" s="289" t="s">
        <v>1072</v>
      </c>
      <c r="D146" s="45" t="s">
        <v>1341</v>
      </c>
      <c r="E146" s="542" t="s">
        <v>1305</v>
      </c>
      <c r="F146" s="46" t="s">
        <v>660</v>
      </c>
      <c r="G146" s="286" t="s">
        <v>691</v>
      </c>
      <c r="H146" s="156"/>
      <c r="I146" s="101" t="s">
        <v>692</v>
      </c>
      <c r="J146" s="142" t="s">
        <v>541</v>
      </c>
      <c r="K146" s="448">
        <v>26000</v>
      </c>
      <c r="L146" s="723" t="s">
        <v>659</v>
      </c>
      <c r="M146" s="516" t="s">
        <v>1313</v>
      </c>
      <c r="N146" s="530" t="s">
        <v>5</v>
      </c>
      <c r="O146" s="289"/>
      <c r="P146" s="62">
        <f>27000+8563.4+14004.4</f>
        <v>49567.8</v>
      </c>
      <c r="Q146" s="62">
        <f>19393.92+15400.32</f>
        <v>34794.239999999998</v>
      </c>
      <c r="R146" s="62"/>
      <c r="S146" s="62">
        <f>18067.22</f>
        <v>18067.22</v>
      </c>
      <c r="T146" s="62">
        <v>119650</v>
      </c>
      <c r="U146" s="62"/>
      <c r="V146" s="62">
        <v>17600</v>
      </c>
      <c r="W146" s="62"/>
      <c r="X146" s="62">
        <f>10000</f>
        <v>10000</v>
      </c>
      <c r="Y146" s="62">
        <v>24967.93</v>
      </c>
      <c r="Z146" s="26">
        <f t="shared" si="18"/>
        <v>274647.19</v>
      </c>
      <c r="AA146" s="27">
        <f t="shared" si="20"/>
        <v>174649.19</v>
      </c>
      <c r="AB146" s="452"/>
    </row>
    <row r="147" spans="1:28" s="63" customFormat="1" ht="137" customHeight="1">
      <c r="A147" s="57"/>
      <c r="B147" s="287" t="s">
        <v>16</v>
      </c>
      <c r="C147" s="289" t="s">
        <v>1326</v>
      </c>
      <c r="D147" s="45" t="s">
        <v>1187</v>
      </c>
      <c r="E147" s="542" t="s">
        <v>1306</v>
      </c>
      <c r="F147" s="46" t="s">
        <v>631</v>
      </c>
      <c r="G147" s="286" t="s">
        <v>620</v>
      </c>
      <c r="H147" s="156">
        <v>12.3</v>
      </c>
      <c r="I147" s="101" t="s">
        <v>617</v>
      </c>
      <c r="J147" s="142" t="s">
        <v>618</v>
      </c>
      <c r="K147" s="448">
        <v>99998</v>
      </c>
      <c r="L147" s="723" t="s">
        <v>15</v>
      </c>
      <c r="M147" s="516" t="s">
        <v>556</v>
      </c>
      <c r="N147" s="530" t="s">
        <v>6</v>
      </c>
      <c r="O147" s="289" t="s">
        <v>621</v>
      </c>
      <c r="P147" s="62"/>
      <c r="Q147" s="62">
        <v>6690</v>
      </c>
      <c r="R147" s="62">
        <f>2758+1920</f>
        <v>4678</v>
      </c>
      <c r="S147" s="62">
        <f>26+147</f>
        <v>173</v>
      </c>
      <c r="T147" s="62">
        <v>52667</v>
      </c>
      <c r="U147" s="62">
        <v>166410</v>
      </c>
      <c r="V147" s="62">
        <v>11205</v>
      </c>
      <c r="W147" s="62"/>
      <c r="X147" s="62"/>
      <c r="Y147" s="62">
        <v>42319</v>
      </c>
      <c r="Z147" s="26">
        <f t="shared" si="18"/>
        <v>284142</v>
      </c>
      <c r="AA147" s="27">
        <f>Z147-K149</f>
        <v>94142</v>
      </c>
      <c r="AB147" s="452"/>
    </row>
    <row r="148" spans="1:28" s="63" customFormat="1" ht="56">
      <c r="A148" s="57"/>
      <c r="B148" s="515" t="s">
        <v>16</v>
      </c>
      <c r="C148" s="71" t="s">
        <v>1213</v>
      </c>
      <c r="D148" s="71" t="s">
        <v>1210</v>
      </c>
      <c r="E148" s="542" t="s">
        <v>1305</v>
      </c>
      <c r="F148" s="93" t="s">
        <v>1288</v>
      </c>
      <c r="G148" s="73" t="s">
        <v>1212</v>
      </c>
      <c r="H148" s="152">
        <v>10.31</v>
      </c>
      <c r="I148" s="101" t="s">
        <v>356</v>
      </c>
      <c r="J148" s="138" t="s">
        <v>1211</v>
      </c>
      <c r="K148" s="448">
        <v>284000</v>
      </c>
      <c r="L148" s="498" t="s">
        <v>392</v>
      </c>
      <c r="M148" s="519" t="s">
        <v>16</v>
      </c>
      <c r="N148" s="534" t="s">
        <v>6</v>
      </c>
      <c r="O148" s="498" t="s">
        <v>1209</v>
      </c>
      <c r="P148" s="62"/>
      <c r="Q148" s="62"/>
      <c r="R148" s="62"/>
      <c r="S148" s="62"/>
      <c r="T148" s="62"/>
      <c r="U148" s="62"/>
      <c r="V148" s="62"/>
      <c r="W148" s="62"/>
      <c r="X148" s="62"/>
      <c r="Y148" s="62"/>
      <c r="Z148" s="26"/>
      <c r="AA148" s="27"/>
      <c r="AB148" s="452"/>
    </row>
    <row r="149" spans="1:28" s="63" customFormat="1">
      <c r="A149" s="57"/>
      <c r="B149" s="287" t="s">
        <v>16</v>
      </c>
      <c r="C149" s="289" t="s">
        <v>1072</v>
      </c>
      <c r="D149" s="44" t="s">
        <v>1342</v>
      </c>
      <c r="E149" s="542" t="s">
        <v>1305</v>
      </c>
      <c r="F149" s="46" t="s">
        <v>658</v>
      </c>
      <c r="G149" s="286"/>
      <c r="H149" s="156"/>
      <c r="I149" s="101" t="s">
        <v>682</v>
      </c>
      <c r="J149" s="142" t="s">
        <v>541</v>
      </c>
      <c r="K149" s="448">
        <v>190000</v>
      </c>
      <c r="L149" s="723" t="s">
        <v>659</v>
      </c>
      <c r="M149" s="516" t="s">
        <v>1313</v>
      </c>
      <c r="N149" s="530" t="s">
        <v>6</v>
      </c>
      <c r="O149" s="289"/>
      <c r="P149" s="62"/>
      <c r="Q149" s="62">
        <v>68000</v>
      </c>
      <c r="R149" s="62"/>
      <c r="S149" s="62"/>
      <c r="T149" s="62"/>
      <c r="U149" s="62">
        <f>2085831.75</f>
        <v>2085831.75</v>
      </c>
      <c r="V149" s="62"/>
      <c r="W149" s="62"/>
      <c r="X149" s="62">
        <f>140583.18+486694.07</f>
        <v>627277.25</v>
      </c>
      <c r="Y149" s="62"/>
      <c r="Z149" s="26">
        <f t="shared" si="18"/>
        <v>2781109</v>
      </c>
      <c r="AA149" s="27">
        <f t="shared" si="20"/>
        <v>2651719</v>
      </c>
      <c r="AB149" s="452"/>
    </row>
    <row r="150" spans="1:28" s="63" customFormat="1" ht="56">
      <c r="A150" s="57"/>
      <c r="B150" s="287" t="s">
        <v>16</v>
      </c>
      <c r="C150" s="289" t="s">
        <v>1326</v>
      </c>
      <c r="D150" s="45" t="s">
        <v>1188</v>
      </c>
      <c r="E150" s="542" t="s">
        <v>1306</v>
      </c>
      <c r="F150" s="46" t="s">
        <v>630</v>
      </c>
      <c r="G150" s="286" t="s">
        <v>616</v>
      </c>
      <c r="H150" s="156">
        <v>12.3</v>
      </c>
      <c r="I150" s="101" t="s">
        <v>617</v>
      </c>
      <c r="J150" s="142" t="s">
        <v>618</v>
      </c>
      <c r="K150" s="448">
        <v>129390</v>
      </c>
      <c r="L150" s="723" t="s">
        <v>95</v>
      </c>
      <c r="M150" s="516" t="s">
        <v>0</v>
      </c>
      <c r="N150" s="530" t="s">
        <v>6</v>
      </c>
      <c r="O150" s="289" t="s">
        <v>619</v>
      </c>
      <c r="P150" s="62">
        <v>5700</v>
      </c>
      <c r="Q150" s="62">
        <f>25000+4300</f>
        <v>29300</v>
      </c>
      <c r="R150" s="62"/>
      <c r="S150" s="62">
        <f>2000+2300+1700</f>
        <v>6000</v>
      </c>
      <c r="T150" s="62"/>
      <c r="U150" s="62"/>
      <c r="V150" s="62">
        <v>1000</v>
      </c>
      <c r="W150" s="62">
        <v>6994</v>
      </c>
      <c r="X150" s="62"/>
      <c r="Y150" s="62"/>
      <c r="Z150" s="26">
        <f t="shared" si="18"/>
        <v>48994</v>
      </c>
      <c r="AA150" s="27">
        <f t="shared" si="20"/>
        <v>-150836</v>
      </c>
      <c r="AB150" s="452"/>
    </row>
    <row r="151" spans="1:28" s="63" customFormat="1" ht="56">
      <c r="A151" s="57"/>
      <c r="B151" s="287" t="s">
        <v>16</v>
      </c>
      <c r="C151" s="289" t="s">
        <v>1326</v>
      </c>
      <c r="D151" s="45" t="s">
        <v>1186</v>
      </c>
      <c r="E151" s="542" t="s">
        <v>1306</v>
      </c>
      <c r="F151" s="46" t="s">
        <v>629</v>
      </c>
      <c r="G151" s="286" t="s">
        <v>605</v>
      </c>
      <c r="H151" s="156">
        <v>12.3</v>
      </c>
      <c r="I151" s="101" t="s">
        <v>606</v>
      </c>
      <c r="J151" s="142" t="s">
        <v>607</v>
      </c>
      <c r="K151" s="448">
        <f>99915*2</f>
        <v>199830</v>
      </c>
      <c r="L151" s="723" t="s">
        <v>608</v>
      </c>
      <c r="M151" s="516" t="s">
        <v>1310</v>
      </c>
      <c r="N151" s="530" t="s">
        <v>6</v>
      </c>
      <c r="O151" s="289" t="s">
        <v>609</v>
      </c>
      <c r="P151" s="62"/>
      <c r="Q151" s="62">
        <v>11934.72</v>
      </c>
      <c r="R151" s="62"/>
      <c r="S151" s="62">
        <v>1202.52</v>
      </c>
      <c r="T151" s="62">
        <v>1240</v>
      </c>
      <c r="U151" s="62"/>
      <c r="V151" s="62">
        <v>500</v>
      </c>
      <c r="W151" s="62"/>
      <c r="X151" s="62"/>
      <c r="Y151" s="62">
        <v>2875.44</v>
      </c>
      <c r="Z151" s="26">
        <f t="shared" si="18"/>
        <v>17752.68</v>
      </c>
      <c r="AA151" s="27">
        <f>Z151-K153</f>
        <v>-5982247.3200000003</v>
      </c>
      <c r="AB151" s="452"/>
    </row>
    <row r="152" spans="1:28" s="63" customFormat="1" ht="34">
      <c r="A152" s="57"/>
      <c r="B152" s="102" t="s">
        <v>16</v>
      </c>
      <c r="C152" s="45" t="s">
        <v>1326</v>
      </c>
      <c r="D152" s="45" t="s">
        <v>1265</v>
      </c>
      <c r="E152" s="542" t="s">
        <v>1306</v>
      </c>
      <c r="F152" s="401" t="s">
        <v>1266</v>
      </c>
      <c r="G152" s="45" t="s">
        <v>1267</v>
      </c>
      <c r="H152" s="160"/>
      <c r="I152" s="103" t="s">
        <v>1268</v>
      </c>
      <c r="J152" s="103" t="s">
        <v>1269</v>
      </c>
      <c r="K152" s="448">
        <v>43000</v>
      </c>
      <c r="L152" s="723" t="s">
        <v>1270</v>
      </c>
      <c r="M152" s="519" t="s">
        <v>556</v>
      </c>
      <c r="N152" s="530" t="s">
        <v>6</v>
      </c>
      <c r="O152" s="498" t="s">
        <v>1271</v>
      </c>
      <c r="P152" s="62"/>
      <c r="Q152" s="62"/>
      <c r="R152" s="62"/>
      <c r="S152" s="62"/>
      <c r="T152" s="62"/>
      <c r="U152" s="62"/>
      <c r="V152" s="62"/>
      <c r="W152" s="62"/>
      <c r="X152" s="62"/>
      <c r="Y152" s="62"/>
      <c r="Z152" s="26"/>
      <c r="AA152" s="27"/>
      <c r="AB152" s="452"/>
    </row>
    <row r="153" spans="1:28" s="63" customFormat="1" ht="42">
      <c r="A153" s="57"/>
      <c r="B153" s="287" t="s">
        <v>16</v>
      </c>
      <c r="C153" s="289" t="s">
        <v>11</v>
      </c>
      <c r="D153" s="45" t="s">
        <v>744</v>
      </c>
      <c r="E153" s="542" t="s">
        <v>1306</v>
      </c>
      <c r="F153" s="45" t="s">
        <v>747</v>
      </c>
      <c r="G153" s="287"/>
      <c r="H153" s="156">
        <v>47.082999999999998</v>
      </c>
      <c r="I153" s="101" t="s">
        <v>59</v>
      </c>
      <c r="J153" s="138" t="s">
        <v>146</v>
      </c>
      <c r="K153" s="448">
        <v>6000000</v>
      </c>
      <c r="L153" s="723" t="s">
        <v>100</v>
      </c>
      <c r="M153" s="516" t="s">
        <v>1311</v>
      </c>
      <c r="N153" s="530" t="s">
        <v>6</v>
      </c>
      <c r="O153" s="289" t="s">
        <v>509</v>
      </c>
      <c r="P153" s="62"/>
      <c r="Q153" s="62">
        <f>7384+3692</f>
        <v>11076</v>
      </c>
      <c r="R153" s="62"/>
      <c r="S153" s="62">
        <f>1476.8+738.4</f>
        <v>2215.1999999999998</v>
      </c>
      <c r="T153" s="62">
        <f>2058+1920+1754</f>
        <v>5732</v>
      </c>
      <c r="U153" s="62">
        <f>2500+1000+2500</f>
        <v>6000</v>
      </c>
      <c r="V153" s="62">
        <v>7441.96</v>
      </c>
      <c r="W153" s="62"/>
      <c r="X153" s="62">
        <v>1000</v>
      </c>
      <c r="Y153" s="62">
        <f>4356.56+2178.28</f>
        <v>6534.84</v>
      </c>
      <c r="Z153" s="26">
        <f t="shared" si="18"/>
        <v>40000</v>
      </c>
      <c r="AA153" s="27">
        <f>Z153-K154</f>
        <v>27008</v>
      </c>
      <c r="AB153" s="452"/>
    </row>
    <row r="154" spans="1:28" s="63" customFormat="1" ht="34">
      <c r="A154" s="57"/>
      <c r="B154" s="287" t="s">
        <v>16</v>
      </c>
      <c r="C154" s="289" t="s">
        <v>1326</v>
      </c>
      <c r="D154" s="45" t="s">
        <v>1180</v>
      </c>
      <c r="E154" s="542" t="s">
        <v>1306</v>
      </c>
      <c r="F154" s="439" t="s">
        <v>1289</v>
      </c>
      <c r="G154" s="291" t="s">
        <v>638</v>
      </c>
      <c r="H154" s="156">
        <v>12.3</v>
      </c>
      <c r="I154" s="145" t="s">
        <v>635</v>
      </c>
      <c r="J154" s="334" t="s">
        <v>636</v>
      </c>
      <c r="K154" s="448">
        <v>12992</v>
      </c>
      <c r="L154" s="723" t="s">
        <v>90</v>
      </c>
      <c r="M154" s="516" t="s">
        <v>1310</v>
      </c>
      <c r="N154" s="530" t="s">
        <v>6</v>
      </c>
      <c r="O154" s="289" t="s">
        <v>641</v>
      </c>
      <c r="P154" s="62">
        <f>(20600+20600+38500)+(38500)+(38500)</f>
        <v>156700</v>
      </c>
      <c r="Q154" s="62"/>
      <c r="R154" s="62">
        <f>(4809+3171)+(7980)+(7980)</f>
        <v>23940</v>
      </c>
      <c r="S154" s="62">
        <f>(1079+1079+3556)+(3556)+(3556)</f>
        <v>12826</v>
      </c>
      <c r="T154" s="62">
        <f>(3100*2)+10000+10000</f>
        <v>26200</v>
      </c>
      <c r="U154" s="62">
        <f>37500*2</f>
        <v>75000</v>
      </c>
      <c r="V154" s="62">
        <f>(343*2)+(257)+(257)</f>
        <v>1200</v>
      </c>
      <c r="W154" s="62">
        <f>4000*2</f>
        <v>8000</v>
      </c>
      <c r="X154" s="62">
        <f>10249+(4644*2)</f>
        <v>19537</v>
      </c>
      <c r="Y154" s="62">
        <f>(11742*2)+22715+22715+22715</f>
        <v>91629</v>
      </c>
      <c r="Z154" s="26">
        <f t="shared" si="18"/>
        <v>415032</v>
      </c>
      <c r="AA154" s="27">
        <f>Z154-K156</f>
        <v>-334963</v>
      </c>
      <c r="AB154" s="452"/>
    </row>
    <row r="155" spans="1:28" s="63" customFormat="1" ht="140">
      <c r="A155" s="57"/>
      <c r="B155" s="102" t="s">
        <v>16</v>
      </c>
      <c r="C155" s="45" t="s">
        <v>1326</v>
      </c>
      <c r="D155" s="45" t="s">
        <v>1286</v>
      </c>
      <c r="E155" s="542" t="s">
        <v>1306</v>
      </c>
      <c r="F155" s="401" t="s">
        <v>1290</v>
      </c>
      <c r="G155" s="45" t="s">
        <v>1272</v>
      </c>
      <c r="H155" s="160"/>
      <c r="I155" s="103" t="s">
        <v>1273</v>
      </c>
      <c r="J155" s="103" t="s">
        <v>1274</v>
      </c>
      <c r="K155" s="448">
        <v>482105</v>
      </c>
      <c r="L155" s="723" t="s">
        <v>93</v>
      </c>
      <c r="M155" s="519" t="s">
        <v>16</v>
      </c>
      <c r="N155" s="530" t="s">
        <v>6</v>
      </c>
      <c r="O155" s="498" t="s">
        <v>1275</v>
      </c>
      <c r="P155" s="62"/>
      <c r="Q155" s="62"/>
      <c r="R155" s="62"/>
      <c r="S155" s="62"/>
      <c r="T155" s="62"/>
      <c r="U155" s="62"/>
      <c r="V155" s="62"/>
      <c r="W155" s="62"/>
      <c r="X155" s="62"/>
      <c r="Y155" s="62"/>
      <c r="Z155" s="26"/>
      <c r="AA155" s="27"/>
      <c r="AB155" s="452"/>
    </row>
    <row r="156" spans="1:28" s="63" customFormat="1" ht="84">
      <c r="A156" s="57"/>
      <c r="B156" s="287" t="s">
        <v>16</v>
      </c>
      <c r="C156" s="289" t="s">
        <v>1382</v>
      </c>
      <c r="D156" s="45" t="s">
        <v>1179</v>
      </c>
      <c r="E156" s="542" t="s">
        <v>1306</v>
      </c>
      <c r="F156" s="93" t="s">
        <v>1409</v>
      </c>
      <c r="G156" s="286" t="s">
        <v>624</v>
      </c>
      <c r="H156" s="156">
        <v>43.008000000000003</v>
      </c>
      <c r="I156" s="101" t="s">
        <v>540</v>
      </c>
      <c r="J156" s="142" t="s">
        <v>106</v>
      </c>
      <c r="K156" s="448">
        <v>749995</v>
      </c>
      <c r="L156" s="723" t="s">
        <v>625</v>
      </c>
      <c r="M156" s="516" t="s">
        <v>16</v>
      </c>
      <c r="N156" s="530" t="s">
        <v>6</v>
      </c>
      <c r="O156" s="289" t="s">
        <v>626</v>
      </c>
      <c r="P156" s="62">
        <f>91044.2+45002.24</f>
        <v>136046.44</v>
      </c>
      <c r="Q156" s="62">
        <f>93843.15+93443.15+15017+12617+12117+5557+23995+73777+30793+15704+10800+10000+1700</f>
        <v>399363.3</v>
      </c>
      <c r="R156" s="62"/>
      <c r="S156" s="62">
        <v>47204.02</v>
      </c>
      <c r="T156" s="62"/>
      <c r="U156" s="62">
        <f>104275+5580</f>
        <v>109855</v>
      </c>
      <c r="V156" s="62">
        <f>104504.38+21240</f>
        <v>125744.38</v>
      </c>
      <c r="W156" s="62"/>
      <c r="X156" s="62">
        <v>17860</v>
      </c>
      <c r="Y156" s="62">
        <v>146313.94</v>
      </c>
      <c r="Z156" s="26">
        <f t="shared" si="18"/>
        <v>982387.08000000007</v>
      </c>
      <c r="AA156" s="27">
        <f>Z156-K157</f>
        <v>692406.08000000007</v>
      </c>
      <c r="AB156" s="452"/>
    </row>
    <row r="157" spans="1:28" s="110" customFormat="1" ht="42">
      <c r="A157" s="57"/>
      <c r="B157" s="287" t="s">
        <v>16</v>
      </c>
      <c r="C157" s="289" t="s">
        <v>1337</v>
      </c>
      <c r="D157" s="45" t="s">
        <v>1336</v>
      </c>
      <c r="E157" s="542" t="s">
        <v>1305</v>
      </c>
      <c r="F157" s="45" t="s">
        <v>223</v>
      </c>
      <c r="G157" s="289" t="s">
        <v>690</v>
      </c>
      <c r="H157" s="160"/>
      <c r="I157" s="101" t="s">
        <v>540</v>
      </c>
      <c r="J157" s="148" t="s">
        <v>341</v>
      </c>
      <c r="K157" s="482">
        <v>289981</v>
      </c>
      <c r="L157" s="723" t="s">
        <v>49</v>
      </c>
      <c r="M157" s="519" t="s">
        <v>16</v>
      </c>
      <c r="N157" s="530" t="s">
        <v>5</v>
      </c>
      <c r="O157" s="289" t="s">
        <v>229</v>
      </c>
      <c r="P157" s="109"/>
      <c r="Q157" s="109">
        <f>16000+3000+5000+10000</f>
        <v>34000</v>
      </c>
      <c r="R157" s="109"/>
      <c r="S157" s="109"/>
      <c r="T157" s="109">
        <f>5000+680+2200+150+8000+300+4000</f>
        <v>20330</v>
      </c>
      <c r="U157" s="109"/>
      <c r="V157" s="109">
        <f>500+700</f>
        <v>1200</v>
      </c>
      <c r="W157" s="109"/>
      <c r="X157" s="109">
        <f>300+750+250+500+500</f>
        <v>2300</v>
      </c>
      <c r="Y157" s="109">
        <v>11566</v>
      </c>
      <c r="Z157" s="26">
        <f t="shared" si="18"/>
        <v>69396</v>
      </c>
      <c r="AA157" s="27">
        <f>Z157-K158</f>
        <v>-2711713</v>
      </c>
      <c r="AB157" s="452"/>
    </row>
    <row r="158" spans="1:28" s="63" customFormat="1">
      <c r="A158" s="57"/>
      <c r="B158" s="287" t="s">
        <v>16</v>
      </c>
      <c r="C158" s="289" t="s">
        <v>1339</v>
      </c>
      <c r="D158" s="44" t="s">
        <v>1338</v>
      </c>
      <c r="E158" s="542" t="s">
        <v>1305</v>
      </c>
      <c r="F158" s="45" t="s">
        <v>84</v>
      </c>
      <c r="G158" s="287" t="s">
        <v>228</v>
      </c>
      <c r="H158" s="156"/>
      <c r="I158" s="101" t="s">
        <v>540</v>
      </c>
      <c r="J158" s="138" t="s">
        <v>341</v>
      </c>
      <c r="K158" s="448">
        <f>2781109</f>
        <v>2781109</v>
      </c>
      <c r="L158" s="530" t="s">
        <v>50</v>
      </c>
      <c r="M158" s="516" t="s">
        <v>16</v>
      </c>
      <c r="N158" s="530" t="s">
        <v>5</v>
      </c>
      <c r="O158" s="289" t="s">
        <v>230</v>
      </c>
      <c r="P158" s="62"/>
      <c r="Q158" s="62">
        <f>18000+43908.75</f>
        <v>61908.75</v>
      </c>
      <c r="R158" s="62">
        <v>17220</v>
      </c>
      <c r="S158" s="62">
        <v>17202.75</v>
      </c>
      <c r="T158" s="62"/>
      <c r="U158" s="62"/>
      <c r="V158" s="62"/>
      <c r="W158" s="62"/>
      <c r="X158" s="62"/>
      <c r="Y158" s="62">
        <v>3568.5</v>
      </c>
      <c r="Z158" s="26">
        <f t="shared" si="18"/>
        <v>99900</v>
      </c>
      <c r="AA158" s="27">
        <f>Z158-K161</f>
        <v>50906</v>
      </c>
      <c r="AB158" s="452"/>
    </row>
    <row r="159" spans="1:28" s="63" customFormat="1" ht="112">
      <c r="A159" s="57"/>
      <c r="B159" s="287" t="s">
        <v>16</v>
      </c>
      <c r="C159" s="289" t="s">
        <v>1375</v>
      </c>
      <c r="D159" s="289" t="s">
        <v>1372</v>
      </c>
      <c r="E159" s="542"/>
      <c r="F159" s="585"/>
      <c r="G159" s="293"/>
      <c r="H159" s="575"/>
      <c r="I159" s="576" t="s">
        <v>1360</v>
      </c>
      <c r="J159" s="577" t="s">
        <v>1361</v>
      </c>
      <c r="K159" s="578">
        <v>14088</v>
      </c>
      <c r="L159" s="498" t="s">
        <v>1362</v>
      </c>
      <c r="M159" s="516" t="s">
        <v>17</v>
      </c>
      <c r="N159" s="289" t="s">
        <v>6</v>
      </c>
      <c r="O159" s="498" t="s">
        <v>1363</v>
      </c>
      <c r="P159" s="62"/>
      <c r="Q159" s="62"/>
      <c r="R159" s="62"/>
      <c r="S159" s="62"/>
      <c r="T159" s="62"/>
      <c r="U159" s="62"/>
      <c r="V159" s="62"/>
      <c r="W159" s="62"/>
      <c r="X159" s="62"/>
      <c r="Y159" s="62"/>
      <c r="Z159" s="26"/>
      <c r="AA159" s="27"/>
      <c r="AB159" s="452"/>
    </row>
    <row r="160" spans="1:28" s="63" customFormat="1" ht="70">
      <c r="A160" s="57"/>
      <c r="B160" s="102" t="s">
        <v>16</v>
      </c>
      <c r="C160" s="102" t="s">
        <v>1287</v>
      </c>
      <c r="D160" s="45" t="s">
        <v>1276</v>
      </c>
      <c r="E160" s="542" t="s">
        <v>1305</v>
      </c>
      <c r="F160" s="401" t="s">
        <v>156</v>
      </c>
      <c r="G160" s="45" t="s">
        <v>1277</v>
      </c>
      <c r="H160" s="160">
        <v>10.912000000000001</v>
      </c>
      <c r="I160" s="103" t="s">
        <v>36</v>
      </c>
      <c r="J160" s="103" t="s">
        <v>106</v>
      </c>
      <c r="K160" s="448">
        <v>74961</v>
      </c>
      <c r="L160" s="723" t="s">
        <v>15</v>
      </c>
      <c r="M160" s="519" t="s">
        <v>556</v>
      </c>
      <c r="N160" s="530" t="s">
        <v>6</v>
      </c>
      <c r="O160" s="498" t="s">
        <v>1278</v>
      </c>
      <c r="P160" s="62"/>
      <c r="Q160" s="62"/>
      <c r="R160" s="62"/>
      <c r="S160" s="62"/>
      <c r="T160" s="62"/>
      <c r="U160" s="62"/>
      <c r="V160" s="62"/>
      <c r="W160" s="62"/>
      <c r="X160" s="62"/>
      <c r="Y160" s="62"/>
      <c r="Z160" s="26"/>
      <c r="AA160" s="27"/>
      <c r="AB160" s="452"/>
    </row>
    <row r="161" spans="1:28" s="63" customFormat="1" ht="42">
      <c r="A161" s="57"/>
      <c r="B161" s="289" t="s">
        <v>16</v>
      </c>
      <c r="C161" s="289" t="s">
        <v>1075</v>
      </c>
      <c r="D161" s="45" t="s">
        <v>1195</v>
      </c>
      <c r="E161" s="542" t="s">
        <v>1305</v>
      </c>
      <c r="F161" s="45" t="s">
        <v>75</v>
      </c>
      <c r="G161" s="287" t="s">
        <v>204</v>
      </c>
      <c r="H161" s="160"/>
      <c r="I161" s="101" t="s">
        <v>24</v>
      </c>
      <c r="J161" s="138" t="s">
        <v>36</v>
      </c>
      <c r="K161" s="482">
        <v>48994</v>
      </c>
      <c r="L161" s="723" t="s">
        <v>206</v>
      </c>
      <c r="M161" s="519" t="s">
        <v>16</v>
      </c>
      <c r="N161" s="530" t="s">
        <v>6</v>
      </c>
      <c r="O161" s="289" t="s">
        <v>205</v>
      </c>
      <c r="P161" s="62"/>
      <c r="Q161" s="62">
        <v>305479.24</v>
      </c>
      <c r="R161" s="62"/>
      <c r="S161" s="62">
        <v>109034.93</v>
      </c>
      <c r="T161" s="62">
        <f>20103.47+20000</f>
        <v>40103.47</v>
      </c>
      <c r="U161" s="62">
        <f>104460</f>
        <v>104460</v>
      </c>
      <c r="V161" s="62">
        <v>70923.47</v>
      </c>
      <c r="W161" s="62"/>
      <c r="X161" s="62">
        <f>21767.22+214108.5+10000</f>
        <v>245875.72</v>
      </c>
      <c r="Y161" s="62">
        <v>174123.17</v>
      </c>
      <c r="Z161" s="26">
        <f t="shared" si="18"/>
        <v>1050000</v>
      </c>
      <c r="AA161" s="27">
        <f>Z161-K162</f>
        <v>701014</v>
      </c>
      <c r="AB161" s="452"/>
    </row>
    <row r="162" spans="1:28" s="63" customFormat="1" ht="70">
      <c r="A162" s="57"/>
      <c r="B162" s="287" t="s">
        <v>16</v>
      </c>
      <c r="C162" s="289" t="s">
        <v>4</v>
      </c>
      <c r="D162" s="45" t="s">
        <v>1190</v>
      </c>
      <c r="E162" s="542" t="s">
        <v>1306</v>
      </c>
      <c r="F162" s="46" t="s">
        <v>737</v>
      </c>
      <c r="G162" s="286" t="s">
        <v>614</v>
      </c>
      <c r="H162" s="156">
        <v>12.3</v>
      </c>
      <c r="I162" s="101" t="s">
        <v>611</v>
      </c>
      <c r="J162" s="142" t="s">
        <v>612</v>
      </c>
      <c r="K162" s="448">
        <f>208986+140000</f>
        <v>348986</v>
      </c>
      <c r="L162" s="723" t="s">
        <v>61</v>
      </c>
      <c r="M162" s="516" t="s">
        <v>0</v>
      </c>
      <c r="N162" s="530" t="s">
        <v>6</v>
      </c>
      <c r="O162" s="289" t="s">
        <v>615</v>
      </c>
      <c r="P162" s="62"/>
      <c r="Q162" s="62"/>
      <c r="R162" s="62"/>
      <c r="S162" s="62"/>
      <c r="T162" s="62"/>
      <c r="U162" s="62"/>
      <c r="V162" s="62"/>
      <c r="W162" s="62"/>
      <c r="X162" s="62"/>
      <c r="Y162" s="62"/>
      <c r="Z162" s="26"/>
      <c r="AA162" s="27"/>
      <c r="AB162" s="452"/>
    </row>
    <row r="163" spans="1:28" s="63" customFormat="1">
      <c r="A163" s="57"/>
      <c r="B163" s="287" t="s">
        <v>16</v>
      </c>
      <c r="C163" s="289" t="s">
        <v>1072</v>
      </c>
      <c r="D163" s="45" t="s">
        <v>1335</v>
      </c>
      <c r="E163" s="542" t="s">
        <v>1305</v>
      </c>
      <c r="F163" s="46" t="s">
        <v>694</v>
      </c>
      <c r="G163" s="279" t="s">
        <v>693</v>
      </c>
      <c r="H163" s="156"/>
      <c r="I163" s="101" t="s">
        <v>695</v>
      </c>
      <c r="J163" s="142" t="s">
        <v>661</v>
      </c>
      <c r="K163" s="448">
        <v>51663</v>
      </c>
      <c r="L163" s="723" t="s">
        <v>659</v>
      </c>
      <c r="M163" s="516" t="s">
        <v>1313</v>
      </c>
      <c r="N163" s="530" t="s">
        <v>5</v>
      </c>
      <c r="O163" s="289"/>
      <c r="P163" s="62">
        <f>32614+6240</f>
        <v>38854</v>
      </c>
      <c r="Q163" s="62">
        <f>22582+11058+(6452*3)+8256</f>
        <v>61252</v>
      </c>
      <c r="R163" s="62"/>
      <c r="S163" s="62">
        <v>5014</v>
      </c>
      <c r="T163" s="62"/>
      <c r="U163" s="62">
        <f>25000+3000</f>
        <v>28000</v>
      </c>
      <c r="V163" s="62">
        <v>46858</v>
      </c>
      <c r="W163" s="62"/>
      <c r="X163" s="62">
        <v>2440</v>
      </c>
      <c r="Y163" s="62">
        <v>31923</v>
      </c>
      <c r="Z163" s="26">
        <f t="shared" si="18"/>
        <v>214341</v>
      </c>
      <c r="AA163" s="27">
        <f t="shared" ref="AA163:AA173" si="21">Z163-K164</f>
        <v>205883</v>
      </c>
      <c r="AB163" s="452"/>
    </row>
    <row r="164" spans="1:28" s="63" customFormat="1" ht="51">
      <c r="A164" s="57"/>
      <c r="B164" s="287" t="s">
        <v>16</v>
      </c>
      <c r="C164" s="289" t="s">
        <v>646</v>
      </c>
      <c r="D164" s="45" t="s">
        <v>743</v>
      </c>
      <c r="E164" s="542" t="s">
        <v>1305</v>
      </c>
      <c r="F164" s="46" t="s">
        <v>647</v>
      </c>
      <c r="G164" s="286"/>
      <c r="H164" s="156"/>
      <c r="I164" s="101" t="s">
        <v>649</v>
      </c>
      <c r="J164" s="138" t="s">
        <v>648</v>
      </c>
      <c r="K164" s="448">
        <v>8458</v>
      </c>
      <c r="L164" s="723" t="s">
        <v>650</v>
      </c>
      <c r="M164" s="516" t="s">
        <v>0</v>
      </c>
      <c r="N164" s="530" t="s">
        <v>6</v>
      </c>
      <c r="O164" s="513"/>
      <c r="P164" s="62"/>
      <c r="Q164" s="62">
        <f>346607+344444+344444+268113+268113</f>
        <v>1571721</v>
      </c>
      <c r="R164" s="62"/>
      <c r="S164" s="62">
        <f>135175+134330+134331+104564+104564</f>
        <v>612964</v>
      </c>
      <c r="T164" s="62">
        <f>18223+41123+18223+33601+17122</f>
        <v>128292</v>
      </c>
      <c r="U164" s="62">
        <f>48589+46449+46449+4708+4708</f>
        <v>150903</v>
      </c>
      <c r="V164" s="62">
        <f>14268+11414+11236+2675+2675</f>
        <v>42268</v>
      </c>
      <c r="W164" s="62"/>
      <c r="X164" s="62">
        <f>43326+143951+185285+405690+303616</f>
        <v>1081868</v>
      </c>
      <c r="Y164" s="62">
        <f>204498+203222+203222+158187+158187</f>
        <v>927316</v>
      </c>
      <c r="Z164" s="26">
        <f t="shared" si="18"/>
        <v>4515332</v>
      </c>
      <c r="AA164" s="27">
        <f>Z164-K166</f>
        <v>3999614</v>
      </c>
      <c r="AB164" s="452"/>
    </row>
    <row r="165" spans="1:28" s="63" customFormat="1" ht="42">
      <c r="A165" s="57"/>
      <c r="B165" s="287" t="s">
        <v>16</v>
      </c>
      <c r="C165" s="289" t="s">
        <v>1320</v>
      </c>
      <c r="D165" s="45" t="s">
        <v>1316</v>
      </c>
      <c r="E165" s="542"/>
      <c r="F165" s="46"/>
      <c r="G165" s="549" t="s">
        <v>1315</v>
      </c>
      <c r="H165" s="156"/>
      <c r="I165" s="101" t="s">
        <v>162</v>
      </c>
      <c r="J165" s="142" t="s">
        <v>1318</v>
      </c>
      <c r="K165" s="448">
        <v>559909</v>
      </c>
      <c r="L165" s="723" t="s">
        <v>1317</v>
      </c>
      <c r="M165" s="516" t="s">
        <v>0</v>
      </c>
      <c r="N165" s="530" t="s">
        <v>16</v>
      </c>
      <c r="O165" s="289" t="s">
        <v>1319</v>
      </c>
      <c r="P165" s="62"/>
      <c r="Q165" s="62"/>
      <c r="R165" s="62"/>
      <c r="S165" s="62"/>
      <c r="T165" s="62"/>
      <c r="U165" s="62"/>
      <c r="V165" s="62"/>
      <c r="W165" s="62"/>
      <c r="X165" s="62"/>
      <c r="Y165" s="62"/>
      <c r="Z165" s="26"/>
      <c r="AA165" s="27"/>
      <c r="AB165" s="452"/>
    </row>
    <row r="166" spans="1:28" s="63" customFormat="1" ht="42">
      <c r="A166" s="57"/>
      <c r="B166" s="287" t="s">
        <v>16</v>
      </c>
      <c r="C166" s="289" t="s">
        <v>4</v>
      </c>
      <c r="D166" s="45" t="s">
        <v>1181</v>
      </c>
      <c r="E166" s="542" t="s">
        <v>1306</v>
      </c>
      <c r="F166" s="45" t="s">
        <v>83</v>
      </c>
      <c r="G166" s="287" t="s">
        <v>143</v>
      </c>
      <c r="H166" s="156">
        <v>12.3</v>
      </c>
      <c r="I166" s="101" t="s">
        <v>30</v>
      </c>
      <c r="J166" s="138" t="s">
        <v>698</v>
      </c>
      <c r="K166" s="448">
        <v>515718</v>
      </c>
      <c r="L166" s="723" t="s">
        <v>202</v>
      </c>
      <c r="M166" s="516" t="s">
        <v>0</v>
      </c>
      <c r="N166" s="530" t="s">
        <v>6</v>
      </c>
      <c r="O166" s="289" t="s">
        <v>203</v>
      </c>
      <c r="P166" s="62">
        <v>3249</v>
      </c>
      <c r="Q166" s="62">
        <f>7500</f>
        <v>7500</v>
      </c>
      <c r="R166" s="62"/>
      <c r="S166" s="62">
        <f>4192</f>
        <v>4192</v>
      </c>
      <c r="T166" s="62">
        <v>5950</v>
      </c>
      <c r="U166" s="62"/>
      <c r="V166" s="62">
        <v>665</v>
      </c>
      <c r="W166" s="62"/>
      <c r="X166" s="62">
        <v>350</v>
      </c>
      <c r="Y166" s="62">
        <v>6342</v>
      </c>
      <c r="Z166" s="26">
        <f t="shared" ref="Z166" si="22">SUM(P166:Y166)</f>
        <v>28248</v>
      </c>
      <c r="AA166" s="27">
        <f t="shared" si="21"/>
        <v>-371310.89</v>
      </c>
      <c r="AB166" s="452"/>
    </row>
    <row r="167" spans="1:28" s="63" customFormat="1" ht="42">
      <c r="A167" s="57"/>
      <c r="B167" s="287" t="s">
        <v>16</v>
      </c>
      <c r="C167" s="289" t="s">
        <v>148</v>
      </c>
      <c r="D167" s="45" t="s">
        <v>1328</v>
      </c>
      <c r="E167" s="542" t="s">
        <v>1306</v>
      </c>
      <c r="F167" s="45" t="s">
        <v>81</v>
      </c>
      <c r="G167" s="287" t="s">
        <v>201</v>
      </c>
      <c r="H167" s="156">
        <v>43.008000000000003</v>
      </c>
      <c r="I167" s="101" t="s">
        <v>57</v>
      </c>
      <c r="J167" s="138" t="s">
        <v>733</v>
      </c>
      <c r="K167" s="448">
        <v>399558.89</v>
      </c>
      <c r="L167" s="723" t="s">
        <v>91</v>
      </c>
      <c r="M167" s="516" t="s">
        <v>16</v>
      </c>
      <c r="N167" s="530" t="s">
        <v>6</v>
      </c>
      <c r="O167" s="289" t="s">
        <v>510</v>
      </c>
      <c r="P167" s="62">
        <f>(1337+5856+7274+(1000*5))*2</f>
        <v>38934</v>
      </c>
      <c r="Q167" s="62">
        <f>(6228+16640)*2</f>
        <v>45736</v>
      </c>
      <c r="R167" s="62"/>
      <c r="S167" s="62">
        <f>4573*2</f>
        <v>9146</v>
      </c>
      <c r="T167" s="62">
        <f>20075*2</f>
        <v>40150</v>
      </c>
      <c r="U167" s="62"/>
      <c r="V167" s="62">
        <f>4977*2</f>
        <v>9954</v>
      </c>
      <c r="W167" s="62"/>
      <c r="X167" s="62">
        <f>(52500+3500)*2</f>
        <v>112000</v>
      </c>
      <c r="Y167" s="62">
        <f>22028*2</f>
        <v>44056</v>
      </c>
      <c r="Z167" s="26">
        <f>SUM(P167:Y167)</f>
        <v>299976</v>
      </c>
      <c r="AA167" s="27">
        <f t="shared" si="21"/>
        <v>0</v>
      </c>
      <c r="AB167" s="452"/>
    </row>
    <row r="168" spans="1:28" s="63" customFormat="1" ht="70">
      <c r="A168" s="57"/>
      <c r="B168" s="287" t="s">
        <v>16</v>
      </c>
      <c r="C168" s="289" t="s">
        <v>11</v>
      </c>
      <c r="D168" s="45" t="s">
        <v>740</v>
      </c>
      <c r="E168" s="542" t="s">
        <v>1306</v>
      </c>
      <c r="F168" s="46" t="s">
        <v>919</v>
      </c>
      <c r="G168" s="292">
        <v>1744436</v>
      </c>
      <c r="H168" s="156"/>
      <c r="I168" s="101" t="s">
        <v>540</v>
      </c>
      <c r="J168" s="142" t="s">
        <v>541</v>
      </c>
      <c r="K168" s="448">
        <v>299976</v>
      </c>
      <c r="L168" s="723" t="s">
        <v>1314</v>
      </c>
      <c r="M168" s="519" t="s">
        <v>556</v>
      </c>
      <c r="N168" s="530" t="s">
        <v>306</v>
      </c>
      <c r="O168" s="289" t="s">
        <v>543</v>
      </c>
      <c r="P168" s="62">
        <v>15297</v>
      </c>
      <c r="Q168" s="62"/>
      <c r="R168" s="62">
        <v>4864</v>
      </c>
      <c r="S168" s="62">
        <v>973</v>
      </c>
      <c r="T168" s="62"/>
      <c r="U168" s="62">
        <f>57000+3900</f>
        <v>60900</v>
      </c>
      <c r="V168" s="62">
        <v>3000</v>
      </c>
      <c r="W168" s="62"/>
      <c r="X168" s="62"/>
      <c r="Y168" s="62">
        <v>14881</v>
      </c>
      <c r="Z168" s="26">
        <f>SUM(P168:Y168)</f>
        <v>99915</v>
      </c>
      <c r="AA168" s="27">
        <f t="shared" si="21"/>
        <v>12762</v>
      </c>
      <c r="AB168" s="452"/>
    </row>
    <row r="169" spans="1:28" s="63" customFormat="1" ht="28">
      <c r="A169" s="57"/>
      <c r="B169" s="287" t="s">
        <v>16</v>
      </c>
      <c r="C169" s="289" t="s">
        <v>1077</v>
      </c>
      <c r="D169" s="44" t="s">
        <v>1334</v>
      </c>
      <c r="E169" s="542" t="s">
        <v>1305</v>
      </c>
      <c r="F169" s="45" t="s">
        <v>149</v>
      </c>
      <c r="G169" s="287"/>
      <c r="H169" s="194">
        <v>93.283000000000001</v>
      </c>
      <c r="I169" s="101" t="s">
        <v>40</v>
      </c>
      <c r="J169" s="142" t="s">
        <v>222</v>
      </c>
      <c r="K169" s="448">
        <f>87153</f>
        <v>87153</v>
      </c>
      <c r="L169" s="540" t="s">
        <v>776</v>
      </c>
      <c r="M169" s="525" t="s">
        <v>16</v>
      </c>
      <c r="N169" s="530" t="s">
        <v>6</v>
      </c>
      <c r="O169" s="289" t="s">
        <v>227</v>
      </c>
      <c r="P169" s="62">
        <v>9540</v>
      </c>
      <c r="Q169" s="62">
        <f>8460+12288</f>
        <v>20748</v>
      </c>
      <c r="R169" s="62"/>
      <c r="S169" s="62">
        <f>1269+138+940</f>
        <v>2347</v>
      </c>
      <c r="T169" s="62"/>
      <c r="U169" s="62">
        <f>4000+4000</f>
        <v>8000</v>
      </c>
      <c r="V169" s="62">
        <f>1140+350</f>
        <v>1490</v>
      </c>
      <c r="W169" s="62">
        <v>400</v>
      </c>
      <c r="X169" s="62"/>
      <c r="Y169" s="62">
        <v>7442</v>
      </c>
      <c r="Z169" s="26">
        <f t="shared" ref="Z169:Z171" si="23">SUM(P169:Y169)</f>
        <v>49967</v>
      </c>
      <c r="AA169" s="27" t="e">
        <f>Z169-#REF!</f>
        <v>#REF!</v>
      </c>
      <c r="AB169" s="452"/>
    </row>
    <row r="170" spans="1:28" s="63" customFormat="1" ht="34">
      <c r="A170" s="57"/>
      <c r="B170" s="287" t="s">
        <v>16</v>
      </c>
      <c r="C170" s="289" t="s">
        <v>595</v>
      </c>
      <c r="D170" s="45" t="s">
        <v>746</v>
      </c>
      <c r="E170" s="542" t="s">
        <v>1305</v>
      </c>
      <c r="F170" s="46" t="s">
        <v>670</v>
      </c>
      <c r="G170" s="286"/>
      <c r="H170" s="156"/>
      <c r="I170" s="101" t="s">
        <v>671</v>
      </c>
      <c r="J170" s="142" t="s">
        <v>364</v>
      </c>
      <c r="K170" s="448">
        <v>87620</v>
      </c>
      <c r="L170" s="723" t="s">
        <v>776</v>
      </c>
      <c r="M170" s="516" t="s">
        <v>16</v>
      </c>
      <c r="N170" s="530" t="s">
        <v>6</v>
      </c>
      <c r="O170" s="289"/>
      <c r="P170" s="62">
        <f>32500+7254</f>
        <v>39754</v>
      </c>
      <c r="Q170" s="62">
        <v>44928</v>
      </c>
      <c r="R170" s="62"/>
      <c r="S170" s="62">
        <v>3437</v>
      </c>
      <c r="T170" s="62"/>
      <c r="U170" s="62">
        <f>1000+1000</f>
        <v>2000</v>
      </c>
      <c r="V170" s="62">
        <v>20000</v>
      </c>
      <c r="W170" s="62"/>
      <c r="X170" s="62"/>
      <c r="Y170" s="62">
        <v>19271</v>
      </c>
      <c r="Z170" s="26">
        <f t="shared" si="23"/>
        <v>129390</v>
      </c>
      <c r="AA170" s="27">
        <f t="shared" si="21"/>
        <v>89390</v>
      </c>
      <c r="AB170" s="452"/>
    </row>
    <row r="171" spans="1:28" s="63" customFormat="1" ht="42">
      <c r="A171" s="57"/>
      <c r="B171" s="287" t="s">
        <v>16</v>
      </c>
      <c r="C171" s="289" t="s">
        <v>1330</v>
      </c>
      <c r="D171" s="45" t="s">
        <v>1197</v>
      </c>
      <c r="E171" s="542" t="s">
        <v>1306</v>
      </c>
      <c r="F171" s="46" t="s">
        <v>145</v>
      </c>
      <c r="G171" s="286"/>
      <c r="H171" s="156"/>
      <c r="I171" s="101" t="s">
        <v>26</v>
      </c>
      <c r="J171" s="138" t="s">
        <v>106</v>
      </c>
      <c r="K171" s="448">
        <v>40000</v>
      </c>
      <c r="L171" s="723" t="s">
        <v>99</v>
      </c>
      <c r="M171" s="516" t="s">
        <v>556</v>
      </c>
      <c r="N171" s="530" t="s">
        <v>6</v>
      </c>
      <c r="O171" s="289" t="s">
        <v>210</v>
      </c>
      <c r="P171" s="62">
        <f>6228</f>
        <v>6228</v>
      </c>
      <c r="Q171" s="62">
        <f>15840+35360</f>
        <v>51200</v>
      </c>
      <c r="R171" s="62"/>
      <c r="S171" s="62">
        <f>1212+2705</f>
        <v>3917</v>
      </c>
      <c r="T171" s="62"/>
      <c r="U171" s="62">
        <f>5000+1000</f>
        <v>6000</v>
      </c>
      <c r="V171" s="62">
        <f>2760+15000</f>
        <v>17760</v>
      </c>
      <c r="W171" s="62"/>
      <c r="X171" s="62"/>
      <c r="Y171" s="62">
        <v>14893</v>
      </c>
      <c r="Z171" s="26">
        <f t="shared" si="23"/>
        <v>99998</v>
      </c>
      <c r="AA171" s="27">
        <f>Z171-K173</f>
        <v>-882389.08</v>
      </c>
      <c r="AB171" s="452"/>
    </row>
    <row r="172" spans="1:28" s="63" customFormat="1" ht="56">
      <c r="A172" s="57"/>
      <c r="B172" s="287" t="s">
        <v>16</v>
      </c>
      <c r="C172" s="289" t="s">
        <v>1081</v>
      </c>
      <c r="D172" s="71" t="s">
        <v>1333</v>
      </c>
      <c r="E172" s="542" t="s">
        <v>1305</v>
      </c>
      <c r="F172" s="45" t="s">
        <v>750</v>
      </c>
      <c r="G172" s="287" t="s">
        <v>211</v>
      </c>
      <c r="H172" s="156">
        <v>15.82</v>
      </c>
      <c r="I172" s="101" t="s">
        <v>540</v>
      </c>
      <c r="J172" s="138" t="s">
        <v>710</v>
      </c>
      <c r="K172" s="448">
        <v>487032</v>
      </c>
      <c r="L172" s="723" t="s">
        <v>91</v>
      </c>
      <c r="M172" s="516" t="s">
        <v>16</v>
      </c>
      <c r="N172" s="530" t="s">
        <v>6</v>
      </c>
      <c r="O172" s="289" t="s">
        <v>212</v>
      </c>
      <c r="P172" s="62">
        <v>22320</v>
      </c>
      <c r="Q172" s="62">
        <v>90000</v>
      </c>
      <c r="R172" s="62"/>
      <c r="S172" s="62">
        <v>18000</v>
      </c>
      <c r="T172" s="62">
        <v>21040</v>
      </c>
      <c r="U172" s="62">
        <f>7500+4000+1000</f>
        <v>12500</v>
      </c>
      <c r="V172" s="62">
        <v>14000</v>
      </c>
      <c r="W172" s="62"/>
      <c r="X172" s="62"/>
      <c r="Y172" s="62">
        <v>31126</v>
      </c>
      <c r="Z172" s="26">
        <f t="shared" ref="Z172" si="24">SUM(P172:Y172)</f>
        <v>208986</v>
      </c>
      <c r="AA172" s="27">
        <f t="shared" ref="AA172" si="25">Z172-K173</f>
        <v>-773401.08</v>
      </c>
      <c r="AB172" s="452"/>
    </row>
    <row r="173" spans="1:28" s="63" customFormat="1" ht="34">
      <c r="A173" s="57"/>
      <c r="B173" s="287" t="s">
        <v>16</v>
      </c>
      <c r="C173" s="289" t="s">
        <v>4</v>
      </c>
      <c r="D173" s="45" t="s">
        <v>1185</v>
      </c>
      <c r="E173" s="542" t="s">
        <v>1306</v>
      </c>
      <c r="F173" s="45" t="s">
        <v>214</v>
      </c>
      <c r="G173" s="287" t="s">
        <v>144</v>
      </c>
      <c r="H173" s="156" t="s">
        <v>65</v>
      </c>
      <c r="I173" s="101" t="s">
        <v>728</v>
      </c>
      <c r="J173" s="138" t="s">
        <v>352</v>
      </c>
      <c r="K173" s="448">
        <v>982387.08</v>
      </c>
      <c r="L173" s="723" t="s">
        <v>8</v>
      </c>
      <c r="M173" s="516" t="s">
        <v>0</v>
      </c>
      <c r="N173" s="530" t="s">
        <v>6</v>
      </c>
      <c r="O173" s="289" t="s">
        <v>213</v>
      </c>
      <c r="P173" s="62"/>
      <c r="Q173" s="62"/>
      <c r="R173" s="62"/>
      <c r="S173" s="62"/>
      <c r="T173" s="62"/>
      <c r="U173" s="62"/>
      <c r="V173" s="62"/>
      <c r="W173" s="62"/>
      <c r="X173" s="62"/>
      <c r="Y173" s="62"/>
      <c r="Z173" s="26">
        <f t="shared" ref="Z173" si="26">SUM(P173:Y173)</f>
        <v>0</v>
      </c>
      <c r="AA173" s="27">
        <f t="shared" si="21"/>
        <v>-99900</v>
      </c>
      <c r="AB173" s="452"/>
    </row>
    <row r="174" spans="1:28" s="63" customFormat="1" ht="42">
      <c r="A174" s="57"/>
      <c r="B174" s="287" t="s">
        <v>16</v>
      </c>
      <c r="C174" s="289" t="s">
        <v>13</v>
      </c>
      <c r="D174" s="45" t="s">
        <v>1196</v>
      </c>
      <c r="E174" s="542" t="s">
        <v>1306</v>
      </c>
      <c r="F174" s="45" t="s">
        <v>80</v>
      </c>
      <c r="G174" s="287"/>
      <c r="H174" s="156">
        <v>10.868</v>
      </c>
      <c r="I174" s="101" t="s">
        <v>35</v>
      </c>
      <c r="J174" s="138" t="s">
        <v>73</v>
      </c>
      <c r="K174" s="448">
        <v>99900</v>
      </c>
      <c r="L174" s="723" t="s">
        <v>15</v>
      </c>
      <c r="M174" s="516" t="s">
        <v>556</v>
      </c>
      <c r="N174" s="530" t="s">
        <v>6</v>
      </c>
      <c r="O174" s="289" t="s">
        <v>215</v>
      </c>
      <c r="P174" s="62"/>
      <c r="Q174" s="62"/>
      <c r="R174" s="62"/>
      <c r="S174" s="62"/>
      <c r="T174" s="62"/>
      <c r="U174" s="62"/>
      <c r="V174" s="62"/>
      <c r="W174" s="62"/>
      <c r="X174" s="62"/>
      <c r="Y174" s="62"/>
      <c r="Z174" s="26"/>
      <c r="AA174" s="27"/>
      <c r="AB174" s="452"/>
    </row>
    <row r="175" spans="1:28" s="63" customFormat="1" ht="68">
      <c r="A175" s="57"/>
      <c r="B175" s="287" t="s">
        <v>16</v>
      </c>
      <c r="C175" s="289" t="s">
        <v>646</v>
      </c>
      <c r="D175" s="45" t="s">
        <v>652</v>
      </c>
      <c r="E175" s="542" t="s">
        <v>1305</v>
      </c>
      <c r="F175" s="46" t="s">
        <v>654</v>
      </c>
      <c r="G175" s="286"/>
      <c r="H175" s="156"/>
      <c r="I175" s="101" t="s">
        <v>657</v>
      </c>
      <c r="J175" s="142" t="s">
        <v>648</v>
      </c>
      <c r="K175" s="448">
        <v>19165</v>
      </c>
      <c r="L175" s="723" t="s">
        <v>99</v>
      </c>
      <c r="M175" s="516" t="s">
        <v>556</v>
      </c>
      <c r="N175" s="530" t="s">
        <v>6</v>
      </c>
      <c r="O175" s="289"/>
      <c r="P175" s="62"/>
      <c r="Q175" s="62"/>
      <c r="R175" s="62"/>
      <c r="S175" s="62"/>
      <c r="T175" s="62"/>
      <c r="U175" s="62"/>
      <c r="V175" s="62"/>
      <c r="W175" s="62"/>
      <c r="X175" s="62"/>
      <c r="Y175" s="62"/>
      <c r="Z175" s="26"/>
      <c r="AA175" s="27"/>
      <c r="AB175" s="452"/>
    </row>
    <row r="176" spans="1:28" s="63" customFormat="1" ht="39">
      <c r="A176" s="57"/>
      <c r="B176" s="515" t="s">
        <v>16</v>
      </c>
      <c r="C176" s="498" t="s">
        <v>1354</v>
      </c>
      <c r="D176" s="71" t="s">
        <v>1349</v>
      </c>
      <c r="E176" s="542" t="s">
        <v>1306</v>
      </c>
      <c r="F176" s="568"/>
      <c r="G176" s="569" t="s">
        <v>1350</v>
      </c>
      <c r="H176" s="152"/>
      <c r="I176" s="101" t="s">
        <v>1351</v>
      </c>
      <c r="J176" s="142" t="s">
        <v>1352</v>
      </c>
      <c r="K176" s="72">
        <v>61500</v>
      </c>
      <c r="L176" s="498" t="s">
        <v>15</v>
      </c>
      <c r="M176" s="516" t="s">
        <v>556</v>
      </c>
      <c r="N176" s="534" t="s">
        <v>6</v>
      </c>
      <c r="O176" s="534" t="s">
        <v>1353</v>
      </c>
      <c r="P176" s="62"/>
      <c r="Q176" s="62"/>
      <c r="R176" s="62"/>
      <c r="S176" s="62"/>
      <c r="T176" s="62"/>
      <c r="U176" s="62"/>
      <c r="V176" s="62"/>
      <c r="W176" s="62"/>
      <c r="X176" s="62"/>
      <c r="Y176" s="62"/>
      <c r="Z176" s="26"/>
      <c r="AA176" s="27"/>
      <c r="AB176" s="452"/>
    </row>
    <row r="177" spans="1:28" s="63" customFormat="1" ht="42">
      <c r="A177" s="57"/>
      <c r="B177" s="287" t="s">
        <v>16</v>
      </c>
      <c r="C177" s="289" t="s">
        <v>69</v>
      </c>
      <c r="D177" s="45" t="s">
        <v>738</v>
      </c>
      <c r="E177" s="542" t="s">
        <v>1306</v>
      </c>
      <c r="F177" s="45" t="s">
        <v>918</v>
      </c>
      <c r="G177" s="287" t="s">
        <v>159</v>
      </c>
      <c r="H177" s="156" t="s">
        <v>68</v>
      </c>
      <c r="I177" s="101" t="s">
        <v>730</v>
      </c>
      <c r="J177" s="138" t="s">
        <v>729</v>
      </c>
      <c r="K177" s="448">
        <f>(255000*4)+30000</f>
        <v>1050000</v>
      </c>
      <c r="L177" s="723" t="s">
        <v>15</v>
      </c>
      <c r="M177" s="516" t="s">
        <v>556</v>
      </c>
      <c r="N177" s="530" t="s">
        <v>6</v>
      </c>
      <c r="O177" s="289" t="s">
        <v>216</v>
      </c>
      <c r="P177" s="62"/>
      <c r="Q177" s="62"/>
      <c r="R177" s="62"/>
      <c r="S177" s="62"/>
      <c r="T177" s="62"/>
      <c r="U177" s="62"/>
      <c r="V177" s="62"/>
      <c r="W177" s="62"/>
      <c r="X177" s="62"/>
      <c r="Y177" s="62"/>
      <c r="Z177" s="26"/>
      <c r="AA177" s="27"/>
      <c r="AB177" s="452"/>
    </row>
    <row r="178" spans="1:28" s="63" customFormat="1" ht="42">
      <c r="A178" s="57"/>
      <c r="B178" s="287" t="s">
        <v>16</v>
      </c>
      <c r="C178" s="289" t="s">
        <v>286</v>
      </c>
      <c r="D178" s="45" t="s">
        <v>741</v>
      </c>
      <c r="E178" s="542" t="s">
        <v>1306</v>
      </c>
      <c r="F178" s="45" t="s">
        <v>947</v>
      </c>
      <c r="G178" s="287" t="s">
        <v>643</v>
      </c>
      <c r="H178" s="156" t="s">
        <v>68</v>
      </c>
      <c r="I178" s="101" t="s">
        <v>644</v>
      </c>
      <c r="J178" s="138" t="s">
        <v>645</v>
      </c>
      <c r="K178" s="448">
        <v>900000</v>
      </c>
      <c r="L178" s="723" t="s">
        <v>15</v>
      </c>
      <c r="M178" s="516" t="s">
        <v>556</v>
      </c>
      <c r="N178" s="530" t="s">
        <v>6</v>
      </c>
      <c r="O178" s="289" t="s">
        <v>216</v>
      </c>
      <c r="P178" s="62"/>
      <c r="Q178" s="62"/>
      <c r="R178" s="62"/>
      <c r="S178" s="62"/>
      <c r="T178" s="62"/>
      <c r="U178" s="62"/>
      <c r="V178" s="62"/>
      <c r="W178" s="62"/>
      <c r="X178" s="62"/>
      <c r="Y178" s="62"/>
      <c r="Z178" s="26"/>
      <c r="AA178" s="27"/>
      <c r="AB178" s="452"/>
    </row>
    <row r="179" spans="1:28" s="63" customFormat="1" ht="42">
      <c r="A179" s="57"/>
      <c r="B179" s="287" t="s">
        <v>16</v>
      </c>
      <c r="C179" s="289" t="s">
        <v>4</v>
      </c>
      <c r="D179" s="45" t="s">
        <v>1182</v>
      </c>
      <c r="E179" s="542" t="s">
        <v>1306</v>
      </c>
      <c r="F179" s="439" t="s">
        <v>1292</v>
      </c>
      <c r="G179" s="286" t="s">
        <v>634</v>
      </c>
      <c r="H179" s="156">
        <v>12.3</v>
      </c>
      <c r="I179" s="101" t="s">
        <v>1170</v>
      </c>
      <c r="J179" s="142" t="s">
        <v>1169</v>
      </c>
      <c r="K179" s="448">
        <v>149953</v>
      </c>
      <c r="L179" s="723" t="s">
        <v>637</v>
      </c>
      <c r="M179" s="516" t="s">
        <v>556</v>
      </c>
      <c r="N179" s="530" t="s">
        <v>6</v>
      </c>
      <c r="O179" s="514" t="s">
        <v>640</v>
      </c>
      <c r="P179" s="62"/>
      <c r="Q179" s="62"/>
      <c r="R179" s="62"/>
      <c r="S179" s="62"/>
      <c r="T179" s="62"/>
      <c r="U179" s="62"/>
      <c r="V179" s="62"/>
      <c r="W179" s="62"/>
      <c r="X179" s="62"/>
      <c r="Y179" s="62"/>
      <c r="Z179" s="26"/>
      <c r="AA179" s="27"/>
      <c r="AB179" s="452"/>
    </row>
    <row r="180" spans="1:28" s="63" customFormat="1" ht="98">
      <c r="A180" s="57"/>
      <c r="B180" s="287" t="s">
        <v>16</v>
      </c>
      <c r="C180" s="289" t="s">
        <v>4</v>
      </c>
      <c r="D180" s="45" t="s">
        <v>1183</v>
      </c>
      <c r="E180" s="542" t="s">
        <v>1306</v>
      </c>
      <c r="F180" s="46" t="s">
        <v>748</v>
      </c>
      <c r="G180" s="286" t="s">
        <v>632</v>
      </c>
      <c r="H180" s="156">
        <v>12.3</v>
      </c>
      <c r="I180" s="101" t="s">
        <v>749</v>
      </c>
      <c r="J180" s="142" t="s">
        <v>633</v>
      </c>
      <c r="K180" s="448">
        <v>139703</v>
      </c>
      <c r="L180" s="723" t="s">
        <v>15</v>
      </c>
      <c r="M180" s="516" t="s">
        <v>556</v>
      </c>
      <c r="N180" s="530" t="s">
        <v>6</v>
      </c>
      <c r="O180" s="289" t="s">
        <v>642</v>
      </c>
      <c r="P180" s="62"/>
      <c r="Q180" s="62"/>
      <c r="R180" s="62"/>
      <c r="S180" s="62"/>
      <c r="T180" s="62"/>
      <c r="U180" s="62"/>
      <c r="V180" s="62"/>
      <c r="W180" s="62"/>
      <c r="X180" s="62"/>
      <c r="Y180" s="62"/>
      <c r="Z180" s="26"/>
      <c r="AA180" s="27"/>
      <c r="AB180" s="452"/>
    </row>
    <row r="181" spans="1:28" s="63" customFormat="1">
      <c r="A181" s="57"/>
      <c r="B181" s="287" t="s">
        <v>16</v>
      </c>
      <c r="C181" s="289" t="s">
        <v>4</v>
      </c>
      <c r="D181" s="45" t="s">
        <v>1184</v>
      </c>
      <c r="E181" s="542" t="s">
        <v>1306</v>
      </c>
      <c r="F181" s="46" t="s">
        <v>82</v>
      </c>
      <c r="G181" s="286" t="s">
        <v>142</v>
      </c>
      <c r="H181" s="156">
        <v>12.3</v>
      </c>
      <c r="I181" s="101" t="s">
        <v>29</v>
      </c>
      <c r="J181" s="138" t="s">
        <v>352</v>
      </c>
      <c r="K181" s="448">
        <v>441119</v>
      </c>
      <c r="L181" s="723" t="s">
        <v>8</v>
      </c>
      <c r="M181" s="516" t="s">
        <v>1307</v>
      </c>
      <c r="N181" s="530" t="s">
        <v>6</v>
      </c>
      <c r="O181" s="289" t="s">
        <v>217</v>
      </c>
      <c r="P181" s="62"/>
      <c r="Q181" s="62"/>
      <c r="R181" s="62"/>
      <c r="S181" s="62"/>
      <c r="T181" s="62"/>
      <c r="U181" s="62"/>
      <c r="V181" s="62"/>
      <c r="W181" s="62"/>
      <c r="X181" s="62"/>
      <c r="Y181" s="62"/>
      <c r="Z181" s="26"/>
      <c r="AA181" s="27"/>
      <c r="AB181" s="452"/>
    </row>
    <row r="182" spans="1:28" s="63" customFormat="1">
      <c r="A182" s="57"/>
      <c r="B182" s="287" t="s">
        <v>16</v>
      </c>
      <c r="C182" s="289" t="s">
        <v>1072</v>
      </c>
      <c r="D182" s="45" t="s">
        <v>1343</v>
      </c>
      <c r="E182" s="542" t="s">
        <v>1305</v>
      </c>
      <c r="F182" s="46" t="s">
        <v>969</v>
      </c>
      <c r="G182" s="293" t="s">
        <v>693</v>
      </c>
      <c r="H182" s="156" t="s">
        <v>900</v>
      </c>
      <c r="I182" s="101" t="s">
        <v>695</v>
      </c>
      <c r="J182" s="142" t="s">
        <v>661</v>
      </c>
      <c r="K182" s="448">
        <v>33535</v>
      </c>
      <c r="L182" s="723"/>
      <c r="M182" s="516" t="s">
        <v>556</v>
      </c>
      <c r="N182" s="530"/>
      <c r="O182" s="289"/>
      <c r="P182" s="62"/>
      <c r="Q182" s="62"/>
      <c r="R182" s="62"/>
      <c r="S182" s="62"/>
      <c r="T182" s="62"/>
      <c r="U182" s="62"/>
      <c r="V182" s="62"/>
      <c r="W182" s="62"/>
      <c r="X182" s="62"/>
      <c r="Y182" s="62"/>
      <c r="Z182" s="26"/>
      <c r="AA182" s="27"/>
      <c r="AB182" s="452"/>
    </row>
    <row r="183" spans="1:28" s="63" customFormat="1" ht="112">
      <c r="A183" s="57"/>
      <c r="B183" s="287" t="s">
        <v>16</v>
      </c>
      <c r="C183" s="289" t="s">
        <v>1072</v>
      </c>
      <c r="D183" s="45" t="s">
        <v>1396</v>
      </c>
      <c r="E183" s="542"/>
      <c r="F183" s="357" t="s">
        <v>1406</v>
      </c>
      <c r="G183" s="286" t="s">
        <v>1386</v>
      </c>
      <c r="H183" s="156">
        <v>15.875</v>
      </c>
      <c r="I183" s="101" t="s">
        <v>1260</v>
      </c>
      <c r="J183" s="142" t="s">
        <v>106</v>
      </c>
      <c r="K183" s="448">
        <v>25824</v>
      </c>
      <c r="L183" s="723" t="s">
        <v>1270</v>
      </c>
      <c r="M183" s="516" t="s">
        <v>16</v>
      </c>
      <c r="N183" s="530" t="s">
        <v>6</v>
      </c>
      <c r="O183" s="289" t="s">
        <v>1387</v>
      </c>
      <c r="P183" s="62"/>
      <c r="Q183" s="62"/>
      <c r="R183" s="62"/>
      <c r="S183" s="62"/>
      <c r="T183" s="62"/>
      <c r="U183" s="62"/>
      <c r="V183" s="62"/>
      <c r="W183" s="62"/>
      <c r="X183" s="62"/>
      <c r="Y183" s="62"/>
      <c r="Z183" s="26"/>
      <c r="AA183" s="27"/>
      <c r="AB183" s="452"/>
    </row>
    <row r="184" spans="1:28" s="63" customFormat="1" ht="28">
      <c r="A184" s="57"/>
      <c r="B184" s="287" t="s">
        <v>16</v>
      </c>
      <c r="C184" s="289" t="s">
        <v>1345</v>
      </c>
      <c r="D184" s="45" t="s">
        <v>1344</v>
      </c>
      <c r="E184" s="542" t="s">
        <v>1305</v>
      </c>
      <c r="F184" s="46" t="s">
        <v>150</v>
      </c>
      <c r="G184" s="286" t="s">
        <v>226</v>
      </c>
      <c r="H184" s="156">
        <v>93.397000000000006</v>
      </c>
      <c r="I184" s="101" t="s">
        <v>124</v>
      </c>
      <c r="J184" s="142" t="s">
        <v>125</v>
      </c>
      <c r="K184" s="448">
        <v>28248</v>
      </c>
      <c r="L184" s="723" t="s">
        <v>55</v>
      </c>
      <c r="M184" s="516" t="s">
        <v>22</v>
      </c>
      <c r="N184" s="530" t="s">
        <v>6</v>
      </c>
      <c r="O184" s="289" t="s">
        <v>219</v>
      </c>
      <c r="P184" s="62"/>
      <c r="Q184" s="62"/>
      <c r="R184" s="62"/>
      <c r="S184" s="62"/>
      <c r="T184" s="62"/>
      <c r="U184" s="62"/>
      <c r="V184" s="62"/>
      <c r="W184" s="62"/>
      <c r="X184" s="62"/>
      <c r="Y184" s="62"/>
      <c r="Z184" s="26"/>
      <c r="AA184" s="27"/>
      <c r="AB184" s="452"/>
    </row>
    <row r="185" spans="1:28" s="63" customFormat="1" ht="84">
      <c r="A185" s="57"/>
      <c r="B185" s="287" t="s">
        <v>16</v>
      </c>
      <c r="C185" s="189" t="s">
        <v>85</v>
      </c>
      <c r="D185" s="45" t="s">
        <v>1206</v>
      </c>
      <c r="E185" s="542" t="s">
        <v>1306</v>
      </c>
      <c r="F185" s="46" t="s">
        <v>732</v>
      </c>
      <c r="G185" s="282" t="s">
        <v>218</v>
      </c>
      <c r="H185" s="156">
        <v>93.397000000000006</v>
      </c>
      <c r="I185" s="101" t="s">
        <v>60</v>
      </c>
      <c r="J185" s="138" t="s">
        <v>45</v>
      </c>
      <c r="K185" s="448">
        <f>(425494+385192)+924933+943190+977538+858985</f>
        <v>4515332</v>
      </c>
      <c r="L185" s="723" t="s">
        <v>93</v>
      </c>
      <c r="M185" s="519" t="s">
        <v>16</v>
      </c>
      <c r="N185" s="530" t="s">
        <v>6</v>
      </c>
      <c r="O185" s="289" t="s">
        <v>221</v>
      </c>
      <c r="P185" s="62"/>
      <c r="Q185" s="62"/>
      <c r="R185" s="62"/>
      <c r="S185" s="62"/>
      <c r="T185" s="62"/>
      <c r="U185" s="62"/>
      <c r="V185" s="62"/>
      <c r="W185" s="62"/>
      <c r="X185" s="62"/>
      <c r="Y185" s="62"/>
      <c r="Z185" s="26"/>
      <c r="AA185" s="27"/>
      <c r="AB185" s="452"/>
    </row>
    <row r="186" spans="1:28" s="63" customFormat="1" ht="34">
      <c r="A186" s="57"/>
      <c r="B186" s="287" t="s">
        <v>16</v>
      </c>
      <c r="C186" s="289" t="s">
        <v>14</v>
      </c>
      <c r="D186" s="45" t="s">
        <v>209</v>
      </c>
      <c r="E186" s="542"/>
      <c r="F186" s="45" t="s">
        <v>79</v>
      </c>
      <c r="G186" s="287" t="s">
        <v>208</v>
      </c>
      <c r="H186" s="156">
        <v>15.808</v>
      </c>
      <c r="I186" s="101" t="s">
        <v>33</v>
      </c>
      <c r="J186" s="174" t="s">
        <v>39</v>
      </c>
      <c r="K186" s="448">
        <v>17752.68</v>
      </c>
      <c r="L186" s="723" t="s">
        <v>207</v>
      </c>
      <c r="M186" s="516" t="s">
        <v>16</v>
      </c>
      <c r="N186" s="530" t="s">
        <v>6</v>
      </c>
      <c r="O186" s="289" t="s">
        <v>511</v>
      </c>
      <c r="P186" s="62"/>
      <c r="Q186" s="62"/>
      <c r="R186" s="62"/>
      <c r="S186" s="62"/>
      <c r="T186" s="62"/>
      <c r="U186" s="62"/>
      <c r="V186" s="62"/>
      <c r="W186" s="62"/>
      <c r="X186" s="62"/>
      <c r="Y186" s="62"/>
      <c r="Z186" s="26"/>
      <c r="AA186" s="27"/>
      <c r="AB186" s="452"/>
    </row>
    <row r="187" spans="1:28" s="63" customFormat="1" ht="70">
      <c r="A187" s="57"/>
      <c r="B187" s="287" t="s">
        <v>16</v>
      </c>
      <c r="C187" s="289" t="s">
        <v>4</v>
      </c>
      <c r="D187" s="45" t="s">
        <v>1191</v>
      </c>
      <c r="E187" s="542" t="s">
        <v>1306</v>
      </c>
      <c r="F187" s="46" t="s">
        <v>734</v>
      </c>
      <c r="G187" s="286" t="s">
        <v>622</v>
      </c>
      <c r="H187" s="156">
        <v>12.3</v>
      </c>
      <c r="I187" s="101" t="s">
        <v>617</v>
      </c>
      <c r="J187" s="142" t="s">
        <v>618</v>
      </c>
      <c r="K187" s="448">
        <v>556075</v>
      </c>
      <c r="L187" s="723" t="s">
        <v>99</v>
      </c>
      <c r="M187" s="516" t="s">
        <v>556</v>
      </c>
      <c r="N187" s="530" t="s">
        <v>6</v>
      </c>
      <c r="O187" s="289" t="s">
        <v>623</v>
      </c>
      <c r="P187" s="62"/>
      <c r="Q187" s="62"/>
      <c r="R187" s="62"/>
      <c r="S187" s="62"/>
      <c r="T187" s="62"/>
      <c r="U187" s="62"/>
      <c r="V187" s="62"/>
      <c r="W187" s="62"/>
      <c r="X187" s="62"/>
      <c r="Y187" s="62"/>
      <c r="Z187" s="26"/>
      <c r="AA187" s="27"/>
      <c r="AB187" s="452"/>
    </row>
    <row r="188" spans="1:28" s="63" customFormat="1" ht="56">
      <c r="A188" s="57"/>
      <c r="B188" s="287" t="s">
        <v>16</v>
      </c>
      <c r="C188" s="289" t="s">
        <v>4</v>
      </c>
      <c r="D188" s="45" t="s">
        <v>1192</v>
      </c>
      <c r="E188" s="542" t="s">
        <v>1306</v>
      </c>
      <c r="F188" s="46" t="s">
        <v>1293</v>
      </c>
      <c r="G188" s="286" t="s">
        <v>639</v>
      </c>
      <c r="H188" s="156">
        <v>12.3</v>
      </c>
      <c r="I188" s="101" t="s">
        <v>1170</v>
      </c>
      <c r="J188" s="142" t="s">
        <v>1225</v>
      </c>
      <c r="K188" s="448">
        <v>179885</v>
      </c>
      <c r="L188" s="723" t="s">
        <v>608</v>
      </c>
      <c r="M188" s="516" t="s">
        <v>1310</v>
      </c>
      <c r="N188" s="530" t="s">
        <v>6</v>
      </c>
      <c r="O188" s="513" t="s">
        <v>1204</v>
      </c>
      <c r="P188" s="62"/>
      <c r="Q188" s="62"/>
      <c r="R188" s="62"/>
      <c r="S188" s="62"/>
      <c r="T188" s="62"/>
      <c r="U188" s="62"/>
      <c r="V188" s="62"/>
      <c r="W188" s="62"/>
      <c r="X188" s="62"/>
      <c r="Y188" s="62"/>
      <c r="Z188" s="26"/>
      <c r="AA188" s="27"/>
      <c r="AB188" s="453"/>
    </row>
    <row r="189" spans="1:28" ht="34">
      <c r="B189" s="287" t="s">
        <v>16</v>
      </c>
      <c r="C189" s="289" t="s">
        <v>646</v>
      </c>
      <c r="D189" s="45" t="s">
        <v>651</v>
      </c>
      <c r="E189" s="542" t="s">
        <v>1305</v>
      </c>
      <c r="F189" s="46" t="s">
        <v>653</v>
      </c>
      <c r="G189" s="286"/>
      <c r="H189" s="156"/>
      <c r="I189" s="101" t="s">
        <v>655</v>
      </c>
      <c r="J189" s="142" t="s">
        <v>656</v>
      </c>
      <c r="K189" s="448">
        <v>53378</v>
      </c>
      <c r="L189" s="723" t="s">
        <v>99</v>
      </c>
      <c r="M189" s="516" t="s">
        <v>556</v>
      </c>
      <c r="N189" s="530" t="s">
        <v>6</v>
      </c>
      <c r="O189" s="513"/>
      <c r="AB189" s="453">
        <f>SUM(K143:K189)</f>
        <v>24059396.649999999</v>
      </c>
    </row>
    <row r="190" spans="1:28" s="63" customFormat="1" ht="21">
      <c r="A190" s="57"/>
      <c r="B190" s="700"/>
      <c r="C190" s="701"/>
      <c r="D190" s="702"/>
      <c r="E190" s="703"/>
      <c r="F190" s="704"/>
      <c r="G190" s="705"/>
      <c r="H190" s="706"/>
      <c r="I190" s="707"/>
      <c r="J190" s="708"/>
      <c r="K190" s="709"/>
      <c r="L190" s="771"/>
      <c r="M190" s="710"/>
      <c r="N190" s="711"/>
      <c r="O190" s="712"/>
      <c r="P190" s="674">
        <v>149280</v>
      </c>
      <c r="Q190" s="78"/>
      <c r="R190" s="78"/>
      <c r="S190" s="78">
        <v>20668</v>
      </c>
      <c r="T190" s="78"/>
      <c r="U190" s="78">
        <v>36000</v>
      </c>
      <c r="V190" s="78">
        <v>18500</v>
      </c>
      <c r="W190" s="78">
        <v>2000</v>
      </c>
      <c r="X190" s="78"/>
      <c r="Y190" s="78">
        <v>39628</v>
      </c>
      <c r="Z190" s="26">
        <f t="shared" ref="Z190" si="27">SUM(P190:Y190)</f>
        <v>266076</v>
      </c>
      <c r="AA190" s="27">
        <f>Z190-K195</f>
        <v>176076</v>
      </c>
      <c r="AB190" s="457"/>
    </row>
    <row r="191" spans="1:28" s="649" customFormat="1" ht="68">
      <c r="A191" s="652"/>
      <c r="B191" s="691" t="s">
        <v>1419</v>
      </c>
      <c r="C191" s="636" t="s">
        <v>18</v>
      </c>
      <c r="D191" s="664" t="s">
        <v>1420</v>
      </c>
      <c r="E191" s="626"/>
      <c r="F191" s="698"/>
      <c r="G191" s="691">
        <v>12804504</v>
      </c>
      <c r="H191" s="692">
        <v>15.875</v>
      </c>
      <c r="I191" s="634" t="s">
        <v>1423</v>
      </c>
      <c r="J191" s="174" t="s">
        <v>1424</v>
      </c>
      <c r="K191" s="693">
        <v>127255</v>
      </c>
      <c r="L191" s="753" t="s">
        <v>1422</v>
      </c>
      <c r="M191" s="737" t="s">
        <v>1419</v>
      </c>
      <c r="N191" s="738" t="s">
        <v>5</v>
      </c>
      <c r="O191" s="641" t="s">
        <v>1421</v>
      </c>
      <c r="P191" s="695"/>
      <c r="Q191" s="696"/>
      <c r="R191" s="696"/>
      <c r="S191" s="696"/>
      <c r="T191" s="696"/>
      <c r="U191" s="696"/>
      <c r="V191" s="696"/>
      <c r="W191" s="696"/>
      <c r="X191" s="696"/>
      <c r="Y191" s="647"/>
      <c r="Z191" s="621"/>
      <c r="AA191" s="623"/>
      <c r="AB191" s="697"/>
    </row>
    <row r="192" spans="1:28" s="63" customFormat="1" ht="21">
      <c r="A192" s="57"/>
      <c r="B192" s="699"/>
      <c r="C192" s="713"/>
      <c r="D192" s="713"/>
      <c r="E192" s="703"/>
      <c r="F192" s="713"/>
      <c r="G192" s="699"/>
      <c r="H192" s="714"/>
      <c r="I192" s="715"/>
      <c r="J192" s="716"/>
      <c r="K192" s="717"/>
      <c r="L192" s="712"/>
      <c r="M192" s="710"/>
      <c r="N192" s="711"/>
      <c r="O192" s="718"/>
      <c r="P192" s="676"/>
      <c r="Q192" s="668"/>
      <c r="R192" s="668"/>
      <c r="S192" s="668"/>
      <c r="T192" s="668"/>
      <c r="U192" s="668"/>
      <c r="V192" s="668"/>
      <c r="W192" s="668"/>
      <c r="X192" s="668"/>
      <c r="Y192" s="592"/>
      <c r="Z192" s="95"/>
      <c r="AA192" s="27"/>
      <c r="AB192" s="457"/>
    </row>
    <row r="193" spans="1:28" s="63" customFormat="1" ht="34">
      <c r="A193" s="57"/>
      <c r="B193" s="58" t="s">
        <v>6</v>
      </c>
      <c r="C193" s="59" t="s">
        <v>1444</v>
      </c>
      <c r="D193" s="59" t="s">
        <v>1442</v>
      </c>
      <c r="E193" s="542"/>
      <c r="F193" s="785" t="s">
        <v>1445</v>
      </c>
      <c r="G193" s="58" t="s">
        <v>1443</v>
      </c>
      <c r="H193" s="553">
        <v>15.875</v>
      </c>
      <c r="I193" s="166" t="s">
        <v>1260</v>
      </c>
      <c r="J193" s="178" t="s">
        <v>106</v>
      </c>
      <c r="K193" s="61">
        <v>200264</v>
      </c>
      <c r="L193" s="58" t="s">
        <v>1389</v>
      </c>
      <c r="M193" s="594"/>
      <c r="N193" s="786" t="s">
        <v>6</v>
      </c>
      <c r="O193" s="59" t="s">
        <v>1441</v>
      </c>
      <c r="P193" s="675"/>
      <c r="Q193" s="364"/>
      <c r="R193" s="364"/>
      <c r="S193" s="364"/>
      <c r="T193" s="364"/>
      <c r="U193" s="364"/>
      <c r="V193" s="364"/>
      <c r="W193" s="364"/>
      <c r="X193" s="364"/>
      <c r="Y193" s="62"/>
      <c r="Z193" s="68"/>
      <c r="AA193" s="27"/>
      <c r="AB193" s="457"/>
    </row>
    <row r="194" spans="1:28" s="63" customFormat="1" ht="34">
      <c r="A194" s="57"/>
      <c r="B194" s="35" t="s">
        <v>6</v>
      </c>
      <c r="C194" s="107" t="s">
        <v>1397</v>
      </c>
      <c r="D194" s="107" t="s">
        <v>1399</v>
      </c>
      <c r="E194" s="542"/>
      <c r="F194" s="669" t="s">
        <v>1407</v>
      </c>
      <c r="G194" s="35" t="s">
        <v>1398</v>
      </c>
      <c r="H194" s="670">
        <v>15.875</v>
      </c>
      <c r="I194" s="108" t="s">
        <v>1388</v>
      </c>
      <c r="J194" s="142" t="s">
        <v>38</v>
      </c>
      <c r="K194" s="671">
        <v>74516</v>
      </c>
      <c r="L194" s="772" t="s">
        <v>1389</v>
      </c>
      <c r="M194" s="594"/>
      <c r="N194" s="593" t="s">
        <v>6</v>
      </c>
      <c r="O194" s="672" t="s">
        <v>1390</v>
      </c>
      <c r="P194" s="675"/>
      <c r="Q194" s="364"/>
      <c r="R194" s="364"/>
      <c r="S194" s="364"/>
      <c r="T194" s="364"/>
      <c r="U194" s="364"/>
      <c r="V194" s="364"/>
      <c r="W194" s="364"/>
      <c r="X194" s="364"/>
      <c r="Y194" s="62"/>
      <c r="Z194" s="68"/>
      <c r="AA194" s="27"/>
      <c r="AB194" s="457"/>
    </row>
    <row r="195" spans="1:28" s="57" customFormat="1" ht="42">
      <c r="A195" s="113"/>
      <c r="B195" s="35" t="s">
        <v>6</v>
      </c>
      <c r="C195" s="107" t="s">
        <v>538</v>
      </c>
      <c r="D195" s="107" t="s">
        <v>1054</v>
      </c>
      <c r="E195" s="546" t="s">
        <v>1305</v>
      </c>
      <c r="F195" s="107" t="s">
        <v>147</v>
      </c>
      <c r="G195" s="35" t="s">
        <v>1055</v>
      </c>
      <c r="H195" s="670" t="s">
        <v>731</v>
      </c>
      <c r="I195" s="108" t="s">
        <v>31</v>
      </c>
      <c r="J195" s="142" t="s">
        <v>46</v>
      </c>
      <c r="K195" s="492">
        <v>90000</v>
      </c>
      <c r="L195" s="672" t="s">
        <v>102</v>
      </c>
      <c r="M195" s="520" t="s">
        <v>6</v>
      </c>
      <c r="N195" s="673" t="s">
        <v>6</v>
      </c>
      <c r="O195" s="672" t="s">
        <v>248</v>
      </c>
      <c r="P195" s="592"/>
      <c r="Q195" s="592">
        <v>36600</v>
      </c>
      <c r="R195" s="592"/>
      <c r="S195" s="592">
        <v>2799.9</v>
      </c>
      <c r="T195" s="592"/>
      <c r="U195" s="592"/>
      <c r="V195" s="592">
        <v>5761.39</v>
      </c>
      <c r="W195" s="592"/>
      <c r="X195" s="592"/>
      <c r="Y195" s="592">
        <v>10838.71</v>
      </c>
      <c r="Z195" s="114">
        <f t="shared" ref="Z195" si="28">SUM(P195:Y195)</f>
        <v>56000</v>
      </c>
      <c r="AA195" s="114">
        <f>Z195-K196</f>
        <v>0</v>
      </c>
      <c r="AB195" s="453"/>
    </row>
    <row r="196" spans="1:28" ht="28">
      <c r="B196" s="724" t="s">
        <v>6</v>
      </c>
      <c r="C196" s="289" t="s">
        <v>9</v>
      </c>
      <c r="D196" s="102" t="s">
        <v>21</v>
      </c>
      <c r="E196" s="548" t="s">
        <v>1306</v>
      </c>
      <c r="F196" s="102" t="s">
        <v>71</v>
      </c>
      <c r="G196" s="287" t="s">
        <v>409</v>
      </c>
      <c r="H196" s="156">
        <v>15.657</v>
      </c>
      <c r="I196" s="101" t="s">
        <v>410</v>
      </c>
      <c r="J196" s="138" t="s">
        <v>41</v>
      </c>
      <c r="K196" s="448">
        <v>56000</v>
      </c>
      <c r="L196" s="723" t="s">
        <v>102</v>
      </c>
      <c r="M196" s="516" t="s">
        <v>6</v>
      </c>
      <c r="N196" s="530" t="s">
        <v>6</v>
      </c>
      <c r="O196" s="289" t="s">
        <v>500</v>
      </c>
      <c r="AB196" s="453">
        <f>SUM(K193:K196)</f>
        <v>420780</v>
      </c>
    </row>
    <row r="197" spans="1:28" s="119" customFormat="1">
      <c r="A197" s="115"/>
      <c r="B197" s="700"/>
      <c r="C197" s="701"/>
      <c r="D197" s="702"/>
      <c r="E197" s="703"/>
      <c r="F197" s="704"/>
      <c r="G197" s="705"/>
      <c r="H197" s="706"/>
      <c r="I197" s="707"/>
      <c r="J197" s="708"/>
      <c r="K197" s="709"/>
      <c r="L197" s="771"/>
      <c r="M197" s="710"/>
      <c r="N197" s="711"/>
      <c r="O197" s="712"/>
      <c r="P197" s="378"/>
      <c r="Q197" s="48">
        <v>201388</v>
      </c>
      <c r="R197" s="48"/>
      <c r="S197" s="48">
        <v>72500</v>
      </c>
      <c r="T197" s="48"/>
      <c r="U197" s="48">
        <v>1200</v>
      </c>
      <c r="V197" s="48">
        <v>600</v>
      </c>
      <c r="W197" s="48"/>
      <c r="X197" s="48">
        <v>42902</v>
      </c>
      <c r="Y197" s="48">
        <v>85165</v>
      </c>
      <c r="Z197" s="27">
        <f t="shared" ref="Z197:Z199" si="29">SUM(P197:Y197)</f>
        <v>403755</v>
      </c>
      <c r="AA197" s="27">
        <f>Z197-K198</f>
        <v>100939</v>
      </c>
      <c r="AB197" s="451"/>
    </row>
    <row r="198" spans="1:28" s="119" customFormat="1" ht="28">
      <c r="A198" s="115"/>
      <c r="B198" s="719" t="s">
        <v>130</v>
      </c>
      <c r="C198" s="289" t="s">
        <v>129</v>
      </c>
      <c r="D198" s="45" t="s">
        <v>141</v>
      </c>
      <c r="E198" s="542" t="s">
        <v>1306</v>
      </c>
      <c r="F198" s="46" t="s">
        <v>722</v>
      </c>
      <c r="G198" s="282" t="s">
        <v>244</v>
      </c>
      <c r="H198" s="160">
        <v>12.002000000000001</v>
      </c>
      <c r="I198" s="103" t="s">
        <v>246</v>
      </c>
      <c r="J198" s="149" t="s">
        <v>245</v>
      </c>
      <c r="K198" s="482">
        <v>302816</v>
      </c>
      <c r="L198" s="723" t="s">
        <v>131</v>
      </c>
      <c r="M198" s="519" t="s">
        <v>130</v>
      </c>
      <c r="N198" s="530" t="s">
        <v>5</v>
      </c>
      <c r="O198" s="289" t="s">
        <v>247</v>
      </c>
      <c r="P198" s="378"/>
      <c r="Q198" s="48">
        <v>243098</v>
      </c>
      <c r="R198" s="48"/>
      <c r="S198" s="48">
        <v>78446</v>
      </c>
      <c r="T198" s="48">
        <v>50913</v>
      </c>
      <c r="U198" s="48">
        <v>61600</v>
      </c>
      <c r="V198" s="48">
        <v>18338</v>
      </c>
      <c r="W198" s="48"/>
      <c r="X198" s="48">
        <v>55121</v>
      </c>
      <c r="Y198" s="48">
        <v>35000</v>
      </c>
      <c r="Z198" s="27">
        <f t="shared" si="29"/>
        <v>542516</v>
      </c>
      <c r="AA198" s="27">
        <f>Z198-K199</f>
        <v>-1924</v>
      </c>
      <c r="AB198" s="451"/>
    </row>
    <row r="199" spans="1:28" s="119" customFormat="1" ht="16" customHeight="1">
      <c r="A199" s="115"/>
      <c r="B199" s="720" t="s">
        <v>130</v>
      </c>
      <c r="C199" s="289" t="s">
        <v>132</v>
      </c>
      <c r="D199" s="45" t="s">
        <v>178</v>
      </c>
      <c r="E199" s="542" t="s">
        <v>1306</v>
      </c>
      <c r="F199" s="46" t="s">
        <v>721</v>
      </c>
      <c r="G199" s="282" t="s">
        <v>133</v>
      </c>
      <c r="H199" s="160">
        <v>59.036999999999999</v>
      </c>
      <c r="I199" s="103" t="s">
        <v>347</v>
      </c>
      <c r="J199" s="148" t="s">
        <v>714</v>
      </c>
      <c r="K199" s="482">
        <v>544440</v>
      </c>
      <c r="L199" s="723" t="s">
        <v>134</v>
      </c>
      <c r="M199" s="519" t="s">
        <v>130</v>
      </c>
      <c r="N199" s="530" t="s">
        <v>5</v>
      </c>
      <c r="O199" s="289" t="s">
        <v>297</v>
      </c>
      <c r="P199" s="378"/>
      <c r="Q199" s="48">
        <v>81637</v>
      </c>
      <c r="R199" s="48"/>
      <c r="S199" s="48">
        <v>10183</v>
      </c>
      <c r="T199" s="48">
        <v>50615</v>
      </c>
      <c r="U199" s="48">
        <v>1223</v>
      </c>
      <c r="V199" s="48">
        <v>3808</v>
      </c>
      <c r="W199" s="48"/>
      <c r="X199" s="48">
        <v>4462</v>
      </c>
      <c r="Y199" s="48"/>
      <c r="Z199" s="27">
        <f t="shared" si="29"/>
        <v>151928</v>
      </c>
      <c r="AA199" s="27">
        <f>Z199-K200</f>
        <v>119274</v>
      </c>
      <c r="AB199" s="451"/>
    </row>
    <row r="200" spans="1:28" s="119" customFormat="1">
      <c r="A200" s="115"/>
      <c r="B200" s="720" t="s">
        <v>130</v>
      </c>
      <c r="C200" s="289" t="s">
        <v>186</v>
      </c>
      <c r="D200" s="45" t="s">
        <v>715</v>
      </c>
      <c r="E200" s="542" t="s">
        <v>1306</v>
      </c>
      <c r="F200" s="45" t="s">
        <v>720</v>
      </c>
      <c r="G200" s="289" t="s">
        <v>133</v>
      </c>
      <c r="H200" s="160">
        <v>59.036999999999999</v>
      </c>
      <c r="I200" s="103" t="s">
        <v>347</v>
      </c>
      <c r="J200" s="149" t="s">
        <v>714</v>
      </c>
      <c r="K200" s="482">
        <v>32654</v>
      </c>
      <c r="L200" s="807" t="s">
        <v>134</v>
      </c>
      <c r="M200" s="810" t="s">
        <v>130</v>
      </c>
      <c r="N200" s="808" t="s">
        <v>5</v>
      </c>
      <c r="O200" s="809" t="s">
        <v>296</v>
      </c>
      <c r="P200" s="378"/>
      <c r="Q200" s="48"/>
      <c r="R200" s="48"/>
      <c r="S200" s="48"/>
      <c r="T200" s="48"/>
      <c r="U200" s="48"/>
      <c r="V200" s="48"/>
      <c r="W200" s="48"/>
      <c r="X200" s="48"/>
      <c r="Y200" s="48"/>
      <c r="Z200" s="27"/>
      <c r="AA200" s="27"/>
      <c r="AB200" s="451"/>
    </row>
    <row r="201" spans="1:28" s="119" customFormat="1">
      <c r="A201" s="115"/>
      <c r="B201" s="720"/>
      <c r="C201" s="289"/>
      <c r="D201" s="45" t="s">
        <v>716</v>
      </c>
      <c r="E201" s="542" t="s">
        <v>1306</v>
      </c>
      <c r="F201" s="45" t="s">
        <v>724</v>
      </c>
      <c r="G201" s="289" t="s">
        <v>133</v>
      </c>
      <c r="H201" s="160">
        <v>59.036999999999999</v>
      </c>
      <c r="I201" s="103" t="s">
        <v>347</v>
      </c>
      <c r="J201" s="148" t="s">
        <v>714</v>
      </c>
      <c r="K201" s="482">
        <v>35000</v>
      </c>
      <c r="L201" s="807"/>
      <c r="M201" s="810"/>
      <c r="N201" s="808"/>
      <c r="O201" s="809"/>
      <c r="P201" s="378"/>
      <c r="Q201" s="48"/>
      <c r="R201" s="48"/>
      <c r="S201" s="48"/>
      <c r="T201" s="48"/>
      <c r="U201" s="48"/>
      <c r="V201" s="48"/>
      <c r="W201" s="48"/>
      <c r="X201" s="48"/>
      <c r="Y201" s="48"/>
      <c r="Z201" s="27"/>
      <c r="AA201" s="27"/>
      <c r="AB201" s="451"/>
    </row>
    <row r="202" spans="1:28" s="119" customFormat="1">
      <c r="A202" s="115"/>
      <c r="B202" s="720"/>
      <c r="C202" s="289"/>
      <c r="D202" s="45" t="s">
        <v>717</v>
      </c>
      <c r="E202" s="542" t="s">
        <v>1306</v>
      </c>
      <c r="F202" s="45" t="s">
        <v>725</v>
      </c>
      <c r="G202" s="289" t="s">
        <v>133</v>
      </c>
      <c r="H202" s="160">
        <v>59.036999999999999</v>
      </c>
      <c r="I202" s="103" t="s">
        <v>347</v>
      </c>
      <c r="J202" s="148" t="s">
        <v>714</v>
      </c>
      <c r="K202" s="482">
        <v>42000</v>
      </c>
      <c r="L202" s="807"/>
      <c r="M202" s="810"/>
      <c r="N202" s="808"/>
      <c r="O202" s="809"/>
      <c r="P202" s="378"/>
      <c r="Q202" s="48"/>
      <c r="R202" s="48"/>
      <c r="S202" s="48"/>
      <c r="T202" s="48"/>
      <c r="U202" s="48"/>
      <c r="V202" s="48"/>
      <c r="W202" s="48"/>
      <c r="X202" s="48"/>
      <c r="Y202" s="48"/>
      <c r="Z202" s="27"/>
      <c r="AA202" s="27"/>
      <c r="AB202" s="451"/>
    </row>
    <row r="203" spans="1:28" s="119" customFormat="1">
      <c r="A203" s="115"/>
      <c r="B203" s="720"/>
      <c r="C203" s="289"/>
      <c r="D203" s="45" t="s">
        <v>718</v>
      </c>
      <c r="E203" s="542" t="s">
        <v>1306</v>
      </c>
      <c r="F203" s="45" t="s">
        <v>726</v>
      </c>
      <c r="G203" s="289" t="s">
        <v>133</v>
      </c>
      <c r="H203" s="160">
        <v>59.036999999999999</v>
      </c>
      <c r="I203" s="103" t="s">
        <v>347</v>
      </c>
      <c r="J203" s="148" t="s">
        <v>714</v>
      </c>
      <c r="K203" s="482">
        <v>50000</v>
      </c>
      <c r="L203" s="807"/>
      <c r="M203" s="810"/>
      <c r="N203" s="808"/>
      <c r="O203" s="809"/>
      <c r="P203" s="378"/>
      <c r="Q203" s="48"/>
      <c r="R203" s="48"/>
      <c r="S203" s="48"/>
      <c r="T203" s="48"/>
      <c r="U203" s="48"/>
      <c r="V203" s="48"/>
      <c r="W203" s="48"/>
      <c r="X203" s="48"/>
      <c r="Y203" s="48"/>
      <c r="Z203" s="27"/>
      <c r="AA203" s="27"/>
      <c r="AB203" s="458"/>
    </row>
    <row r="204" spans="1:28">
      <c r="B204" s="725"/>
      <c r="C204" s="610"/>
      <c r="D204" s="45" t="s">
        <v>719</v>
      </c>
      <c r="E204" s="542" t="s">
        <v>1306</v>
      </c>
      <c r="F204" s="45" t="s">
        <v>727</v>
      </c>
      <c r="G204" s="289" t="s">
        <v>133</v>
      </c>
      <c r="H204" s="160">
        <v>59.307000000000002</v>
      </c>
      <c r="I204" s="103" t="s">
        <v>347</v>
      </c>
      <c r="J204" s="148" t="s">
        <v>723</v>
      </c>
      <c r="K204" s="482">
        <v>18128</v>
      </c>
      <c r="L204" s="807"/>
      <c r="M204" s="810"/>
      <c r="N204" s="808"/>
      <c r="O204" s="809"/>
      <c r="AB204" s="458">
        <f>SUM(K198:K205)</f>
        <v>1025038</v>
      </c>
    </row>
    <row r="205" spans="1:28" s="63" customFormat="1" ht="21">
      <c r="A205" s="69"/>
      <c r="B205" s="677"/>
      <c r="C205" s="678"/>
      <c r="D205" s="679"/>
      <c r="E205" s="680"/>
      <c r="F205" s="681"/>
      <c r="G205" s="682"/>
      <c r="H205" s="683"/>
      <c r="I205" s="684"/>
      <c r="J205" s="685"/>
      <c r="K205" s="686"/>
      <c r="L205" s="770"/>
      <c r="M205" s="687"/>
      <c r="N205" s="688"/>
      <c r="O205" s="689"/>
      <c r="P205" s="376">
        <v>344447</v>
      </c>
      <c r="Q205" s="62">
        <f>931128+155</f>
        <v>931283</v>
      </c>
      <c r="R205" s="62"/>
      <c r="S205" s="62">
        <v>175215</v>
      </c>
      <c r="T205" s="62">
        <v>47000</v>
      </c>
      <c r="U205" s="62">
        <v>225000</v>
      </c>
      <c r="V205" s="62">
        <v>32300</v>
      </c>
      <c r="W205" s="62">
        <v>10000</v>
      </c>
      <c r="X205" s="62">
        <v>152758</v>
      </c>
      <c r="Y205" s="62">
        <v>752680</v>
      </c>
      <c r="Z205" s="122">
        <f>SUM(P205:Y205)</f>
        <v>2670683</v>
      </c>
      <c r="AA205" s="123">
        <f>Z205-K206</f>
        <v>2625604</v>
      </c>
      <c r="AB205" s="457"/>
    </row>
    <row r="206" spans="1:28" s="63" customFormat="1" ht="165" customHeight="1">
      <c r="A206" s="69"/>
      <c r="B206" s="515" t="s">
        <v>1400</v>
      </c>
      <c r="C206" s="672" t="s">
        <v>1072</v>
      </c>
      <c r="D206" s="71" t="s">
        <v>1404</v>
      </c>
      <c r="E206" s="542"/>
      <c r="F206" s="41" t="s">
        <v>1408</v>
      </c>
      <c r="G206" s="292" t="s">
        <v>1401</v>
      </c>
      <c r="H206" s="156">
        <v>15.875</v>
      </c>
      <c r="I206" s="101" t="s">
        <v>1402</v>
      </c>
      <c r="J206" s="138" t="s">
        <v>1151</v>
      </c>
      <c r="K206" s="448">
        <v>45079</v>
      </c>
      <c r="L206" s="498" t="s">
        <v>342</v>
      </c>
      <c r="M206" s="519" t="s">
        <v>1400</v>
      </c>
      <c r="N206" s="534" t="s">
        <v>6</v>
      </c>
      <c r="O206" s="498" t="s">
        <v>1403</v>
      </c>
      <c r="P206" s="376"/>
      <c r="Q206" s="62"/>
      <c r="R206" s="62"/>
      <c r="S206" s="62"/>
      <c r="T206" s="62"/>
      <c r="U206" s="62"/>
      <c r="V206" s="62"/>
      <c r="W206" s="62"/>
      <c r="X206" s="62"/>
      <c r="Y206" s="62"/>
      <c r="Z206" s="92"/>
      <c r="AA206" s="92"/>
      <c r="AB206" s="787">
        <f>SUM(K206:K206)</f>
        <v>45079</v>
      </c>
    </row>
    <row r="207" spans="1:28" s="63" customFormat="1" ht="21">
      <c r="A207" s="69"/>
      <c r="B207" s="677"/>
      <c r="C207" s="678"/>
      <c r="D207" s="679"/>
      <c r="E207" s="680"/>
      <c r="F207" s="681"/>
      <c r="G207" s="682"/>
      <c r="H207" s="683"/>
      <c r="I207" s="684"/>
      <c r="J207" s="685"/>
      <c r="K207" s="686"/>
      <c r="L207" s="770"/>
      <c r="M207" s="687"/>
      <c r="N207" s="688"/>
      <c r="O207" s="689"/>
      <c r="P207" s="376">
        <v>344447</v>
      </c>
      <c r="Q207" s="62">
        <f>931128+155</f>
        <v>931283</v>
      </c>
      <c r="R207" s="62"/>
      <c r="S207" s="62">
        <v>175215</v>
      </c>
      <c r="T207" s="62">
        <v>47000</v>
      </c>
      <c r="U207" s="62">
        <v>225000</v>
      </c>
      <c r="V207" s="62">
        <v>32300</v>
      </c>
      <c r="W207" s="62">
        <v>10000</v>
      </c>
      <c r="X207" s="62">
        <v>152758</v>
      </c>
      <c r="Y207" s="62">
        <v>752680</v>
      </c>
      <c r="Z207" s="122">
        <f>SUM(P207:Y207)</f>
        <v>2670683</v>
      </c>
      <c r="AA207" s="123">
        <f>Z207-K208</f>
        <v>1966328</v>
      </c>
      <c r="AB207" s="457"/>
    </row>
    <row r="208" spans="1:28" s="63" customFormat="1" ht="34">
      <c r="A208" s="69"/>
      <c r="B208" s="515" t="s">
        <v>1434</v>
      </c>
      <c r="C208" s="672" t="s">
        <v>925</v>
      </c>
      <c r="D208" s="71" t="s">
        <v>928</v>
      </c>
      <c r="E208" s="542" t="s">
        <v>1305</v>
      </c>
      <c r="F208" s="128" t="s">
        <v>751</v>
      </c>
      <c r="G208" s="292"/>
      <c r="H208" s="156">
        <v>93.31</v>
      </c>
      <c r="I208" s="101" t="s">
        <v>926</v>
      </c>
      <c r="J208" s="138" t="s">
        <v>927</v>
      </c>
      <c r="K208" s="448">
        <v>704355</v>
      </c>
      <c r="L208" s="498" t="s">
        <v>999</v>
      </c>
      <c r="M208" s="519" t="s">
        <v>22</v>
      </c>
      <c r="N208" s="534" t="s">
        <v>6</v>
      </c>
      <c r="O208" s="498" t="s">
        <v>924</v>
      </c>
      <c r="P208" s="376"/>
      <c r="Q208" s="62"/>
      <c r="R208" s="62"/>
      <c r="S208" s="62"/>
      <c r="T208" s="62"/>
      <c r="U208" s="62"/>
      <c r="V208" s="62"/>
      <c r="W208" s="62"/>
      <c r="X208" s="62"/>
      <c r="Y208" s="62"/>
      <c r="Z208" s="92"/>
      <c r="AA208" s="92"/>
      <c r="AB208" s="457"/>
    </row>
    <row r="209" spans="1:28" s="63" customFormat="1" ht="34">
      <c r="A209" s="69"/>
      <c r="B209" s="392" t="s">
        <v>1434</v>
      </c>
      <c r="C209" s="325" t="s">
        <v>18</v>
      </c>
      <c r="D209" s="208" t="s">
        <v>943</v>
      </c>
      <c r="E209" s="542" t="s">
        <v>1306</v>
      </c>
      <c r="F209" s="226" t="s">
        <v>971</v>
      </c>
      <c r="G209" s="294"/>
      <c r="H209" s="224">
        <v>93.106999999999999</v>
      </c>
      <c r="I209" s="222">
        <v>41760</v>
      </c>
      <c r="J209" s="220">
        <v>42978</v>
      </c>
      <c r="K209" s="491">
        <v>750000</v>
      </c>
      <c r="L209" s="498" t="s">
        <v>999</v>
      </c>
      <c r="M209" s="519" t="s">
        <v>22</v>
      </c>
      <c r="N209" s="534" t="s">
        <v>5</v>
      </c>
      <c r="O209" s="498"/>
      <c r="P209" s="376"/>
      <c r="Q209" s="62"/>
      <c r="R209" s="62"/>
      <c r="S209" s="62"/>
      <c r="T209" s="62"/>
      <c r="U209" s="62"/>
      <c r="V209" s="62"/>
      <c r="W209" s="62"/>
      <c r="X209" s="62"/>
      <c r="Y209" s="62"/>
      <c r="Z209" s="92"/>
      <c r="AA209" s="92"/>
      <c r="AB209" s="457"/>
    </row>
    <row r="210" spans="1:28" s="63" customFormat="1" ht="34">
      <c r="A210" s="69"/>
      <c r="B210" s="392" t="s">
        <v>1434</v>
      </c>
      <c r="C210" s="325" t="s">
        <v>18</v>
      </c>
      <c r="D210" s="208" t="s">
        <v>944</v>
      </c>
      <c r="E210" s="542" t="s">
        <v>1306</v>
      </c>
      <c r="F210" s="226" t="s">
        <v>970</v>
      </c>
      <c r="G210" s="294"/>
      <c r="H210" s="224">
        <v>93.106999999999999</v>
      </c>
      <c r="I210" s="222">
        <v>42979</v>
      </c>
      <c r="J210" s="220">
        <v>44804</v>
      </c>
      <c r="K210" s="491">
        <v>1587150</v>
      </c>
      <c r="L210" s="498" t="s">
        <v>999</v>
      </c>
      <c r="M210" s="519" t="s">
        <v>22</v>
      </c>
      <c r="N210" s="534" t="s">
        <v>5</v>
      </c>
      <c r="O210" s="498"/>
      <c r="P210" s="376"/>
      <c r="Q210" s="62"/>
      <c r="R210" s="62"/>
      <c r="S210" s="62"/>
      <c r="T210" s="62"/>
      <c r="U210" s="62"/>
      <c r="V210" s="62"/>
      <c r="W210" s="62"/>
      <c r="X210" s="62"/>
      <c r="Y210" s="62"/>
      <c r="Z210" s="92"/>
      <c r="AA210" s="92"/>
      <c r="AB210" s="459"/>
    </row>
    <row r="211" spans="1:28" ht="28">
      <c r="B211" s="515" t="s">
        <v>1434</v>
      </c>
      <c r="C211" s="672" t="s">
        <v>921</v>
      </c>
      <c r="D211" s="71" t="s">
        <v>923</v>
      </c>
      <c r="E211" s="542" t="s">
        <v>1306</v>
      </c>
      <c r="F211" s="128" t="s">
        <v>689</v>
      </c>
      <c r="G211" s="292" t="s">
        <v>291</v>
      </c>
      <c r="H211" s="156">
        <v>93.307000000000002</v>
      </c>
      <c r="I211" s="101" t="s">
        <v>35</v>
      </c>
      <c r="J211" s="138" t="s">
        <v>922</v>
      </c>
      <c r="K211" s="448">
        <v>2500000</v>
      </c>
      <c r="L211" s="498" t="s">
        <v>999</v>
      </c>
      <c r="M211" s="519" t="s">
        <v>22</v>
      </c>
      <c r="N211" s="534" t="s">
        <v>6</v>
      </c>
      <c r="O211" s="498" t="s">
        <v>920</v>
      </c>
      <c r="AB211" s="459">
        <f>SUM(K206:K211)</f>
        <v>5586584</v>
      </c>
    </row>
    <row r="212" spans="1:28" s="124" customFormat="1">
      <c r="B212" s="677"/>
      <c r="C212" s="678"/>
      <c r="D212" s="679"/>
      <c r="E212" s="680"/>
      <c r="F212" s="681"/>
      <c r="G212" s="682"/>
      <c r="H212" s="683"/>
      <c r="I212" s="684"/>
      <c r="J212" s="685"/>
      <c r="K212" s="686"/>
      <c r="L212" s="770"/>
      <c r="M212" s="687"/>
      <c r="N212" s="688"/>
      <c r="O212" s="689"/>
      <c r="P212" s="376">
        <v>4712</v>
      </c>
      <c r="Q212" s="62"/>
      <c r="R212" s="62"/>
      <c r="S212" s="62">
        <v>68</v>
      </c>
      <c r="T212" s="62"/>
      <c r="U212" s="62">
        <v>23280</v>
      </c>
      <c r="V212" s="62"/>
      <c r="W212" s="62"/>
      <c r="X212" s="62"/>
      <c r="Y212" s="62"/>
      <c r="Z212" s="125">
        <f t="shared" ref="Z212" si="30">SUM(P212:Y212)</f>
        <v>28060</v>
      </c>
      <c r="AA212" s="126">
        <f>Z212-K213</f>
        <v>20118</v>
      </c>
      <c r="AB212" s="452"/>
    </row>
    <row r="213" spans="1:28" s="124" customFormat="1" ht="56">
      <c r="B213" s="70" t="s">
        <v>34</v>
      </c>
      <c r="C213" s="71" t="s">
        <v>1163</v>
      </c>
      <c r="D213" s="71" t="s">
        <v>1119</v>
      </c>
      <c r="E213" s="542" t="s">
        <v>1306</v>
      </c>
      <c r="F213" s="73" t="s">
        <v>114</v>
      </c>
      <c r="G213" s="93" t="s">
        <v>476</v>
      </c>
      <c r="H213" s="156">
        <v>15.805</v>
      </c>
      <c r="I213" s="101" t="s">
        <v>711</v>
      </c>
      <c r="J213" s="138" t="s">
        <v>712</v>
      </c>
      <c r="K213" s="448">
        <v>7942</v>
      </c>
      <c r="L213" s="498" t="s">
        <v>184</v>
      </c>
      <c r="M213" s="516" t="s">
        <v>34</v>
      </c>
      <c r="N213" s="534" t="s">
        <v>5</v>
      </c>
      <c r="O213" s="498" t="s">
        <v>477</v>
      </c>
      <c r="P213" s="95"/>
      <c r="Q213" s="95"/>
      <c r="R213" s="95"/>
      <c r="S213" s="95"/>
      <c r="T213" s="95"/>
      <c r="U213" s="95"/>
      <c r="V213" s="95"/>
      <c r="W213" s="95"/>
      <c r="X213" s="95"/>
      <c r="Y213" s="95"/>
      <c r="Z213" s="125"/>
      <c r="AA213" s="126"/>
      <c r="AB213" s="453"/>
    </row>
    <row r="214" spans="1:28" ht="68">
      <c r="B214" s="721" t="s">
        <v>34</v>
      </c>
      <c r="C214" s="22" t="s">
        <v>1165</v>
      </c>
      <c r="D214" s="22" t="s">
        <v>1095</v>
      </c>
      <c r="E214" s="546" t="s">
        <v>1305</v>
      </c>
      <c r="F214" s="371" t="s">
        <v>1096</v>
      </c>
      <c r="G214" s="372" t="s">
        <v>1097</v>
      </c>
      <c r="H214" s="176">
        <v>43.008000000000003</v>
      </c>
      <c r="I214" s="108" t="s">
        <v>1098</v>
      </c>
      <c r="J214" s="108" t="s">
        <v>1099</v>
      </c>
      <c r="K214" s="492">
        <v>248999.26</v>
      </c>
      <c r="L214" s="189" t="s">
        <v>94</v>
      </c>
      <c r="M214" s="520" t="s">
        <v>34</v>
      </c>
      <c r="N214" s="539" t="s">
        <v>6</v>
      </c>
      <c r="O214" s="189" t="s">
        <v>1100</v>
      </c>
    </row>
    <row r="215" spans="1:28" ht="112">
      <c r="B215" s="722" t="s">
        <v>34</v>
      </c>
      <c r="C215" s="189" t="s">
        <v>1364</v>
      </c>
      <c r="D215" s="189" t="s">
        <v>1379</v>
      </c>
      <c r="E215" s="546"/>
      <c r="F215" s="587"/>
      <c r="G215" s="579"/>
      <c r="H215" s="571">
        <v>93.143000000000001</v>
      </c>
      <c r="I215" s="580" t="s">
        <v>1232</v>
      </c>
      <c r="J215" s="580" t="s">
        <v>698</v>
      </c>
      <c r="K215" s="581">
        <v>25903</v>
      </c>
      <c r="L215" s="189" t="s">
        <v>1087</v>
      </c>
      <c r="M215" s="520" t="s">
        <v>34</v>
      </c>
      <c r="N215" s="189" t="s">
        <v>6</v>
      </c>
      <c r="O215" s="189" t="s">
        <v>1365</v>
      </c>
    </row>
    <row r="216" spans="1:28" ht="70">
      <c r="B216" s="102" t="s">
        <v>34</v>
      </c>
      <c r="C216" s="71" t="s">
        <v>1163</v>
      </c>
      <c r="D216" s="45" t="s">
        <v>1101</v>
      </c>
      <c r="E216" s="542" t="s">
        <v>1306</v>
      </c>
      <c r="F216" s="128" t="s">
        <v>1102</v>
      </c>
      <c r="G216" s="46" t="s">
        <v>1103</v>
      </c>
      <c r="H216" s="156">
        <v>15.805</v>
      </c>
      <c r="I216" s="101" t="s">
        <v>711</v>
      </c>
      <c r="J216" s="101" t="s">
        <v>710</v>
      </c>
      <c r="K216" s="448">
        <v>38731</v>
      </c>
      <c r="L216" s="723" t="s">
        <v>182</v>
      </c>
      <c r="M216" s="516" t="s">
        <v>34</v>
      </c>
      <c r="N216" s="530" t="s">
        <v>5</v>
      </c>
      <c r="O216" s="289" t="s">
        <v>438</v>
      </c>
    </row>
    <row r="217" spans="1:28" ht="34">
      <c r="B217" s="70" t="s">
        <v>34</v>
      </c>
      <c r="C217" s="71" t="s">
        <v>1163</v>
      </c>
      <c r="D217" s="71" t="s">
        <v>456</v>
      </c>
      <c r="E217" s="542" t="s">
        <v>1306</v>
      </c>
      <c r="F217" s="73" t="s">
        <v>117</v>
      </c>
      <c r="G217" s="93" t="s">
        <v>459</v>
      </c>
      <c r="H217" s="156">
        <v>15.805</v>
      </c>
      <c r="I217" s="101" t="s">
        <v>711</v>
      </c>
      <c r="J217" s="138" t="s">
        <v>710</v>
      </c>
      <c r="K217" s="448">
        <v>23465</v>
      </c>
      <c r="L217" s="498" t="s">
        <v>183</v>
      </c>
      <c r="M217" s="516" t="s">
        <v>34</v>
      </c>
      <c r="N217" s="534" t="s">
        <v>5</v>
      </c>
      <c r="O217" s="498" t="s">
        <v>457</v>
      </c>
    </row>
    <row r="218" spans="1:28" ht="84">
      <c r="B218" s="70" t="s">
        <v>34</v>
      </c>
      <c r="C218" s="71" t="s">
        <v>1163</v>
      </c>
      <c r="D218" s="368" t="s">
        <v>1104</v>
      </c>
      <c r="E218" s="548" t="s">
        <v>1306</v>
      </c>
      <c r="F218" s="70" t="s">
        <v>1105</v>
      </c>
      <c r="G218" s="368" t="s">
        <v>1084</v>
      </c>
      <c r="H218" s="156">
        <v>15.805</v>
      </c>
      <c r="I218" s="101" t="s">
        <v>1085</v>
      </c>
      <c r="J218" s="101" t="s">
        <v>1086</v>
      </c>
      <c r="K218" s="448">
        <v>6980</v>
      </c>
      <c r="L218" s="773" t="s">
        <v>184</v>
      </c>
      <c r="M218" s="516" t="s">
        <v>34</v>
      </c>
      <c r="N218" s="534" t="s">
        <v>5</v>
      </c>
      <c r="O218" s="498" t="s">
        <v>1106</v>
      </c>
    </row>
    <row r="219" spans="1:28" ht="56">
      <c r="B219" s="70" t="s">
        <v>34</v>
      </c>
      <c r="C219" s="71" t="s">
        <v>1163</v>
      </c>
      <c r="D219" s="71" t="s">
        <v>462</v>
      </c>
      <c r="E219" s="542" t="s">
        <v>1306</v>
      </c>
      <c r="F219" s="73" t="s">
        <v>903</v>
      </c>
      <c r="G219" s="93" t="s">
        <v>463</v>
      </c>
      <c r="H219" s="156">
        <v>15.805</v>
      </c>
      <c r="I219" s="101" t="s">
        <v>711</v>
      </c>
      <c r="J219" s="138" t="s">
        <v>710</v>
      </c>
      <c r="K219" s="448">
        <v>28060</v>
      </c>
      <c r="L219" s="498" t="s">
        <v>182</v>
      </c>
      <c r="M219" s="516" t="s">
        <v>34</v>
      </c>
      <c r="N219" s="534" t="s">
        <v>5</v>
      </c>
      <c r="O219" s="498" t="s">
        <v>464</v>
      </c>
    </row>
    <row r="220" spans="1:28" ht="34">
      <c r="B220" s="70" t="s">
        <v>34</v>
      </c>
      <c r="C220" s="71" t="s">
        <v>1163</v>
      </c>
      <c r="D220" s="368" t="s">
        <v>1155</v>
      </c>
      <c r="E220" s="548" t="s">
        <v>1306</v>
      </c>
      <c r="F220" s="70" t="s">
        <v>1156</v>
      </c>
      <c r="G220" s="368" t="s">
        <v>1157</v>
      </c>
      <c r="H220" s="156">
        <v>15.805</v>
      </c>
      <c r="I220" s="101" t="s">
        <v>1085</v>
      </c>
      <c r="J220" s="101" t="s">
        <v>1086</v>
      </c>
      <c r="K220" s="448">
        <v>25280</v>
      </c>
      <c r="L220" s="773" t="s">
        <v>1158</v>
      </c>
      <c r="M220" s="516" t="s">
        <v>34</v>
      </c>
      <c r="N220" s="534" t="s">
        <v>5</v>
      </c>
      <c r="O220" s="498" t="s">
        <v>1159</v>
      </c>
    </row>
    <row r="221" spans="1:28" ht="98">
      <c r="B221" s="102" t="s">
        <v>34</v>
      </c>
      <c r="C221" s="71" t="s">
        <v>1163</v>
      </c>
      <c r="D221" s="45" t="s">
        <v>1120</v>
      </c>
      <c r="E221" s="542" t="s">
        <v>1306</v>
      </c>
      <c r="F221" s="128" t="s">
        <v>113</v>
      </c>
      <c r="G221" s="46" t="s">
        <v>449</v>
      </c>
      <c r="H221" s="156">
        <v>15.805</v>
      </c>
      <c r="I221" s="101" t="s">
        <v>711</v>
      </c>
      <c r="J221" s="138" t="s">
        <v>710</v>
      </c>
      <c r="K221" s="448">
        <v>38027</v>
      </c>
      <c r="L221" s="723" t="s">
        <v>451</v>
      </c>
      <c r="M221" s="519" t="s">
        <v>34</v>
      </c>
      <c r="N221" s="530" t="s">
        <v>5</v>
      </c>
      <c r="O221" s="498" t="s">
        <v>450</v>
      </c>
    </row>
    <row r="222" spans="1:28" ht="93" customHeight="1">
      <c r="B222" s="70" t="s">
        <v>34</v>
      </c>
      <c r="C222" s="71" t="s">
        <v>1163</v>
      </c>
      <c r="D222" s="71" t="s">
        <v>441</v>
      </c>
      <c r="E222" s="542" t="s">
        <v>1306</v>
      </c>
      <c r="F222" s="93" t="s">
        <v>454</v>
      </c>
      <c r="G222" s="93" t="s">
        <v>455</v>
      </c>
      <c r="H222" s="156">
        <v>15.805</v>
      </c>
      <c r="I222" s="101" t="s">
        <v>711</v>
      </c>
      <c r="J222" s="138" t="s">
        <v>710</v>
      </c>
      <c r="K222" s="448">
        <v>25736</v>
      </c>
      <c r="L222" s="498" t="s">
        <v>184</v>
      </c>
      <c r="M222" s="516" t="s">
        <v>34</v>
      </c>
      <c r="N222" s="534" t="s">
        <v>5</v>
      </c>
      <c r="O222" s="498" t="s">
        <v>1312</v>
      </c>
    </row>
    <row r="223" spans="1:28" ht="81" customHeight="1">
      <c r="B223" s="70" t="s">
        <v>34</v>
      </c>
      <c r="C223" s="71" t="s">
        <v>1163</v>
      </c>
      <c r="D223" s="368" t="s">
        <v>1107</v>
      </c>
      <c r="E223" s="548" t="s">
        <v>1306</v>
      </c>
      <c r="F223" s="70" t="s">
        <v>1108</v>
      </c>
      <c r="G223" s="368" t="s">
        <v>1109</v>
      </c>
      <c r="H223" s="156">
        <v>15.805</v>
      </c>
      <c r="I223" s="101" t="s">
        <v>1085</v>
      </c>
      <c r="J223" s="101" t="s">
        <v>1086</v>
      </c>
      <c r="K223" s="448">
        <v>29756</v>
      </c>
      <c r="L223" s="773" t="s">
        <v>184</v>
      </c>
      <c r="M223" s="516" t="s">
        <v>34</v>
      </c>
      <c r="N223" s="534" t="s">
        <v>5</v>
      </c>
      <c r="O223" s="498" t="s">
        <v>1110</v>
      </c>
    </row>
    <row r="224" spans="1:28" ht="57" customHeight="1">
      <c r="B224" s="70" t="s">
        <v>34</v>
      </c>
      <c r="C224" s="71" t="s">
        <v>411</v>
      </c>
      <c r="D224" s="71" t="s">
        <v>417</v>
      </c>
      <c r="E224" s="542" t="s">
        <v>1305</v>
      </c>
      <c r="F224" s="73" t="s">
        <v>395</v>
      </c>
      <c r="G224" s="73"/>
      <c r="H224" s="156"/>
      <c r="I224" s="101" t="s">
        <v>1082</v>
      </c>
      <c r="J224" s="138" t="s">
        <v>38</v>
      </c>
      <c r="K224" s="448">
        <v>15000</v>
      </c>
      <c r="L224" s="498" t="s">
        <v>1223</v>
      </c>
      <c r="M224" s="519" t="s">
        <v>34</v>
      </c>
      <c r="N224" s="534" t="s">
        <v>6</v>
      </c>
      <c r="O224" s="498" t="s">
        <v>475</v>
      </c>
    </row>
    <row r="225" spans="2:15" ht="68">
      <c r="B225" s="70" t="s">
        <v>34</v>
      </c>
      <c r="C225" s="71" t="s">
        <v>1163</v>
      </c>
      <c r="D225" s="368" t="s">
        <v>1090</v>
      </c>
      <c r="E225" s="548" t="s">
        <v>1306</v>
      </c>
      <c r="F225" s="70" t="s">
        <v>1083</v>
      </c>
      <c r="G225" s="368" t="s">
        <v>1084</v>
      </c>
      <c r="H225" s="156">
        <v>15.805</v>
      </c>
      <c r="I225" s="101" t="s">
        <v>1085</v>
      </c>
      <c r="J225" s="101" t="s">
        <v>1086</v>
      </c>
      <c r="K225" s="448">
        <v>10090</v>
      </c>
      <c r="L225" s="773" t="s">
        <v>1087</v>
      </c>
      <c r="M225" s="516" t="s">
        <v>34</v>
      </c>
      <c r="N225" s="534" t="s">
        <v>5</v>
      </c>
      <c r="O225" s="498" t="s">
        <v>1088</v>
      </c>
    </row>
    <row r="226" spans="2:15" ht="112">
      <c r="B226" s="515" t="s">
        <v>34</v>
      </c>
      <c r="C226" s="498" t="s">
        <v>1380</v>
      </c>
      <c r="D226" s="45" t="s">
        <v>1366</v>
      </c>
      <c r="E226" s="548"/>
      <c r="F226" s="588"/>
      <c r="G226" s="369" t="s">
        <v>1381</v>
      </c>
      <c r="H226" s="575"/>
      <c r="I226" s="576" t="s">
        <v>1282</v>
      </c>
      <c r="J226" s="576" t="s">
        <v>169</v>
      </c>
      <c r="K226" s="582">
        <v>57696</v>
      </c>
      <c r="L226" s="773" t="s">
        <v>1367</v>
      </c>
      <c r="M226" s="516" t="s">
        <v>34</v>
      </c>
      <c r="N226" s="498" t="s">
        <v>6</v>
      </c>
      <c r="O226" s="498" t="s">
        <v>1368</v>
      </c>
    </row>
    <row r="227" spans="2:15" ht="34">
      <c r="B227" s="102" t="s">
        <v>34</v>
      </c>
      <c r="C227" s="45" t="s">
        <v>338</v>
      </c>
      <c r="D227" s="45" t="s">
        <v>1121</v>
      </c>
      <c r="E227" s="542" t="s">
        <v>1305</v>
      </c>
      <c r="F227" s="46" t="s">
        <v>1089</v>
      </c>
      <c r="G227" s="128" t="s">
        <v>339</v>
      </c>
      <c r="H227" s="156">
        <v>15.875</v>
      </c>
      <c r="I227" s="101" t="s">
        <v>340</v>
      </c>
      <c r="J227" s="138" t="s">
        <v>341</v>
      </c>
      <c r="K227" s="448">
        <v>28000</v>
      </c>
      <c r="L227" s="723" t="s">
        <v>342</v>
      </c>
      <c r="M227" s="516" t="s">
        <v>34</v>
      </c>
      <c r="N227" s="530" t="s">
        <v>343</v>
      </c>
      <c r="O227" s="289" t="s">
        <v>344</v>
      </c>
    </row>
    <row r="228" spans="2:15" ht="51">
      <c r="B228" s="70" t="s">
        <v>34</v>
      </c>
      <c r="C228" s="71" t="s">
        <v>1163</v>
      </c>
      <c r="D228" s="368" t="s">
        <v>1114</v>
      </c>
      <c r="E228" s="548" t="s">
        <v>1306</v>
      </c>
      <c r="F228" s="70" t="s">
        <v>1113</v>
      </c>
      <c r="G228" s="368" t="s">
        <v>1115</v>
      </c>
      <c r="H228" s="156">
        <v>15.805</v>
      </c>
      <c r="I228" s="101" t="s">
        <v>1085</v>
      </c>
      <c r="J228" s="101" t="s">
        <v>1086</v>
      </c>
      <c r="K228" s="448">
        <v>34442</v>
      </c>
      <c r="L228" s="773" t="s">
        <v>181</v>
      </c>
      <c r="M228" s="516" t="s">
        <v>34</v>
      </c>
      <c r="N228" s="534" t="s">
        <v>5</v>
      </c>
      <c r="O228" s="498" t="s">
        <v>1111</v>
      </c>
    </row>
    <row r="229" spans="2:15" ht="51">
      <c r="B229" s="70" t="s">
        <v>34</v>
      </c>
      <c r="C229" s="71" t="s">
        <v>1163</v>
      </c>
      <c r="D229" s="71" t="s">
        <v>479</v>
      </c>
      <c r="E229" s="542" t="s">
        <v>1306</v>
      </c>
      <c r="F229" s="73" t="s">
        <v>115</v>
      </c>
      <c r="G229" s="93" t="s">
        <v>1112</v>
      </c>
      <c r="H229" s="156">
        <v>15.805</v>
      </c>
      <c r="I229" s="101" t="s">
        <v>711</v>
      </c>
      <c r="J229" s="101" t="s">
        <v>710</v>
      </c>
      <c r="K229" s="448">
        <v>34567</v>
      </c>
      <c r="L229" s="498" t="s">
        <v>181</v>
      </c>
      <c r="M229" s="516" t="s">
        <v>34</v>
      </c>
      <c r="N229" s="534" t="s">
        <v>5</v>
      </c>
      <c r="O229" s="498" t="s">
        <v>440</v>
      </c>
    </row>
    <row r="230" spans="2:15" ht="54" customHeight="1">
      <c r="B230" s="70" t="s">
        <v>34</v>
      </c>
      <c r="C230" s="71" t="s">
        <v>1163</v>
      </c>
      <c r="D230" s="368" t="s">
        <v>1116</v>
      </c>
      <c r="E230" s="548" t="s">
        <v>1306</v>
      </c>
      <c r="F230" s="70" t="s">
        <v>1301</v>
      </c>
      <c r="G230" s="368" t="s">
        <v>1118</v>
      </c>
      <c r="H230" s="156">
        <v>15.805</v>
      </c>
      <c r="I230" s="101" t="s">
        <v>1085</v>
      </c>
      <c r="J230" s="101" t="s">
        <v>1086</v>
      </c>
      <c r="K230" s="448">
        <v>30715</v>
      </c>
      <c r="L230" s="773" t="s">
        <v>98</v>
      </c>
      <c r="M230" s="516" t="s">
        <v>34</v>
      </c>
      <c r="N230" s="534" t="s">
        <v>5</v>
      </c>
      <c r="O230" s="498" t="s">
        <v>448</v>
      </c>
    </row>
    <row r="231" spans="2:15" ht="56">
      <c r="B231" s="70" t="s">
        <v>34</v>
      </c>
      <c r="C231" s="71" t="s">
        <v>1163</v>
      </c>
      <c r="D231" s="71" t="s">
        <v>902</v>
      </c>
      <c r="E231" s="542" t="s">
        <v>1306</v>
      </c>
      <c r="F231" s="73" t="s">
        <v>112</v>
      </c>
      <c r="G231" s="93" t="s">
        <v>439</v>
      </c>
      <c r="H231" s="156">
        <v>15.805</v>
      </c>
      <c r="I231" s="101" t="s">
        <v>711</v>
      </c>
      <c r="J231" s="138" t="s">
        <v>710</v>
      </c>
      <c r="K231" s="448">
        <v>28641</v>
      </c>
      <c r="L231" s="498" t="s">
        <v>94</v>
      </c>
      <c r="M231" s="516" t="s">
        <v>34</v>
      </c>
      <c r="N231" s="534" t="s">
        <v>5</v>
      </c>
      <c r="O231" s="498" t="s">
        <v>448</v>
      </c>
    </row>
    <row r="232" spans="2:15" ht="56">
      <c r="B232" s="102" t="s">
        <v>34</v>
      </c>
      <c r="C232" s="45" t="s">
        <v>1123</v>
      </c>
      <c r="D232" s="45" t="s">
        <v>1124</v>
      </c>
      <c r="E232" s="542" t="s">
        <v>1305</v>
      </c>
      <c r="F232" s="128" t="s">
        <v>1125</v>
      </c>
      <c r="G232" s="46" t="s">
        <v>1126</v>
      </c>
      <c r="H232" s="156"/>
      <c r="I232" s="101" t="s">
        <v>1127</v>
      </c>
      <c r="J232" s="101" t="s">
        <v>341</v>
      </c>
      <c r="K232" s="448">
        <v>50000</v>
      </c>
      <c r="L232" s="723" t="s">
        <v>1128</v>
      </c>
      <c r="M232" s="519" t="s">
        <v>34</v>
      </c>
      <c r="N232" s="530" t="s">
        <v>6</v>
      </c>
      <c r="O232" s="289" t="s">
        <v>1129</v>
      </c>
    </row>
    <row r="233" spans="2:15" ht="56">
      <c r="B233" s="102" t="s">
        <v>34</v>
      </c>
      <c r="C233" s="71" t="s">
        <v>1163</v>
      </c>
      <c r="D233" s="45" t="s">
        <v>452</v>
      </c>
      <c r="E233" s="542" t="s">
        <v>1306</v>
      </c>
      <c r="F233" s="128" t="s">
        <v>116</v>
      </c>
      <c r="G233" s="46" t="s">
        <v>1130</v>
      </c>
      <c r="H233" s="156">
        <v>15.805</v>
      </c>
      <c r="I233" s="101" t="s">
        <v>711</v>
      </c>
      <c r="J233" s="101" t="s">
        <v>710</v>
      </c>
      <c r="K233" s="448">
        <v>19584</v>
      </c>
      <c r="L233" s="723" t="s">
        <v>181</v>
      </c>
      <c r="M233" s="516" t="s">
        <v>34</v>
      </c>
      <c r="N233" s="530" t="s">
        <v>5</v>
      </c>
      <c r="O233" s="289" t="s">
        <v>453</v>
      </c>
    </row>
    <row r="234" spans="2:15" ht="34">
      <c r="B234" s="70" t="s">
        <v>34</v>
      </c>
      <c r="C234" s="71" t="s">
        <v>1163</v>
      </c>
      <c r="D234" s="368" t="s">
        <v>1131</v>
      </c>
      <c r="E234" s="548" t="s">
        <v>1306</v>
      </c>
      <c r="F234" s="70" t="s">
        <v>1132</v>
      </c>
      <c r="G234" s="368" t="s">
        <v>1133</v>
      </c>
      <c r="H234" s="156">
        <v>15.805</v>
      </c>
      <c r="I234" s="101" t="s">
        <v>1085</v>
      </c>
      <c r="J234" s="101" t="s">
        <v>1086</v>
      </c>
      <c r="K234" s="448">
        <v>26337</v>
      </c>
      <c r="L234" s="773" t="s">
        <v>181</v>
      </c>
      <c r="M234" s="516" t="s">
        <v>34</v>
      </c>
      <c r="N234" s="534" t="s">
        <v>5</v>
      </c>
      <c r="O234" s="498" t="s">
        <v>1134</v>
      </c>
    </row>
    <row r="235" spans="2:15" ht="56">
      <c r="B235" s="70" t="s">
        <v>34</v>
      </c>
      <c r="C235" s="71" t="s">
        <v>1163</v>
      </c>
      <c r="D235" s="368" t="s">
        <v>1135</v>
      </c>
      <c r="E235" s="548" t="s">
        <v>1306</v>
      </c>
      <c r="F235" s="70" t="s">
        <v>1136</v>
      </c>
      <c r="G235" s="368" t="s">
        <v>1137</v>
      </c>
      <c r="H235" s="156">
        <v>15.805</v>
      </c>
      <c r="I235" s="101" t="s">
        <v>1085</v>
      </c>
      <c r="J235" s="101" t="s">
        <v>1086</v>
      </c>
      <c r="K235" s="448">
        <v>25410</v>
      </c>
      <c r="L235" s="773" t="s">
        <v>183</v>
      </c>
      <c r="M235" s="516" t="s">
        <v>34</v>
      </c>
      <c r="N235" s="534" t="s">
        <v>5</v>
      </c>
      <c r="O235" s="498" t="s">
        <v>1138</v>
      </c>
    </row>
    <row r="236" spans="2:15" ht="84">
      <c r="B236" s="70" t="s">
        <v>34</v>
      </c>
      <c r="C236" s="71" t="s">
        <v>1163</v>
      </c>
      <c r="D236" s="368" t="s">
        <v>1139</v>
      </c>
      <c r="E236" s="548" t="s">
        <v>1306</v>
      </c>
      <c r="F236" s="70" t="s">
        <v>1140</v>
      </c>
      <c r="G236" s="368" t="s">
        <v>1141</v>
      </c>
      <c r="H236" s="156">
        <v>15.805</v>
      </c>
      <c r="I236" s="101" t="s">
        <v>1085</v>
      </c>
      <c r="J236" s="101" t="s">
        <v>1086</v>
      </c>
      <c r="K236" s="448">
        <v>9091</v>
      </c>
      <c r="L236" s="773" t="s">
        <v>184</v>
      </c>
      <c r="M236" s="516" t="s">
        <v>34</v>
      </c>
      <c r="N236" s="534" t="s">
        <v>5</v>
      </c>
      <c r="O236" s="498" t="s">
        <v>1142</v>
      </c>
    </row>
    <row r="237" spans="2:15" ht="70">
      <c r="B237" s="70" t="s">
        <v>34</v>
      </c>
      <c r="C237" s="71" t="s">
        <v>1163</v>
      </c>
      <c r="D237" s="71" t="s">
        <v>458</v>
      </c>
      <c r="E237" s="542" t="s">
        <v>1306</v>
      </c>
      <c r="F237" s="73" t="s">
        <v>118</v>
      </c>
      <c r="G237" s="93" t="s">
        <v>460</v>
      </c>
      <c r="H237" s="156">
        <v>15.805</v>
      </c>
      <c r="I237" s="101" t="s">
        <v>711</v>
      </c>
      <c r="J237" s="138" t="s">
        <v>710</v>
      </c>
      <c r="K237" s="448">
        <v>7942</v>
      </c>
      <c r="L237" s="498" t="s">
        <v>184</v>
      </c>
      <c r="M237" s="516" t="s">
        <v>34</v>
      </c>
      <c r="N237" s="534" t="s">
        <v>5</v>
      </c>
      <c r="O237" s="498" t="s">
        <v>461</v>
      </c>
    </row>
    <row r="238" spans="2:15" ht="42">
      <c r="B238" s="70" t="s">
        <v>34</v>
      </c>
      <c r="C238" s="71" t="s">
        <v>1163</v>
      </c>
      <c r="D238" s="368" t="s">
        <v>1143</v>
      </c>
      <c r="E238" s="548" t="s">
        <v>1306</v>
      </c>
      <c r="F238" s="70" t="s">
        <v>1144</v>
      </c>
      <c r="G238" s="368" t="s">
        <v>1145</v>
      </c>
      <c r="H238" s="156">
        <v>15.805</v>
      </c>
      <c r="I238" s="101" t="s">
        <v>1085</v>
      </c>
      <c r="J238" s="101" t="s">
        <v>1086</v>
      </c>
      <c r="K238" s="448">
        <v>32871</v>
      </c>
      <c r="L238" s="773" t="s">
        <v>98</v>
      </c>
      <c r="M238" s="516" t="s">
        <v>34</v>
      </c>
      <c r="N238" s="534" t="s">
        <v>5</v>
      </c>
      <c r="O238" s="289" t="s">
        <v>447</v>
      </c>
    </row>
    <row r="239" spans="2:15" ht="42">
      <c r="B239" s="102" t="s">
        <v>34</v>
      </c>
      <c r="C239" s="71" t="s">
        <v>1163</v>
      </c>
      <c r="D239" s="45" t="s">
        <v>446</v>
      </c>
      <c r="E239" s="542" t="s">
        <v>1306</v>
      </c>
      <c r="F239" s="128" t="s">
        <v>111</v>
      </c>
      <c r="G239" s="46" t="s">
        <v>1146</v>
      </c>
      <c r="H239" s="156">
        <v>15.805</v>
      </c>
      <c r="I239" s="101" t="s">
        <v>711</v>
      </c>
      <c r="J239" s="101" t="s">
        <v>710</v>
      </c>
      <c r="K239" s="448">
        <v>24310</v>
      </c>
      <c r="L239" s="723" t="s">
        <v>94</v>
      </c>
      <c r="M239" s="516" t="s">
        <v>34</v>
      </c>
      <c r="N239" s="530" t="s">
        <v>5</v>
      </c>
      <c r="O239" s="289" t="s">
        <v>447</v>
      </c>
    </row>
    <row r="240" spans="2:15" ht="51">
      <c r="B240" s="102" t="s">
        <v>34</v>
      </c>
      <c r="C240" s="45" t="s">
        <v>412</v>
      </c>
      <c r="D240" s="45" t="s">
        <v>416</v>
      </c>
      <c r="E240" s="542" t="s">
        <v>1305</v>
      </c>
      <c r="F240" s="128" t="s">
        <v>174</v>
      </c>
      <c r="G240" s="46" t="s">
        <v>413</v>
      </c>
      <c r="H240" s="156"/>
      <c r="I240" s="101" t="s">
        <v>35</v>
      </c>
      <c r="J240" s="138" t="s">
        <v>36</v>
      </c>
      <c r="K240" s="448">
        <v>226294</v>
      </c>
      <c r="L240" s="723" t="s">
        <v>94</v>
      </c>
      <c r="M240" s="519" t="s">
        <v>34</v>
      </c>
      <c r="N240" s="530" t="s">
        <v>6</v>
      </c>
      <c r="O240" s="289" t="s">
        <v>442</v>
      </c>
    </row>
    <row r="241" spans="2:28" ht="56">
      <c r="B241" s="102" t="s">
        <v>34</v>
      </c>
      <c r="C241" s="71" t="s">
        <v>1163</v>
      </c>
      <c r="D241" s="368" t="s">
        <v>1091</v>
      </c>
      <c r="E241" s="548" t="s">
        <v>1306</v>
      </c>
      <c r="F241" s="128" t="s">
        <v>905</v>
      </c>
      <c r="G241" s="368" t="s">
        <v>1092</v>
      </c>
      <c r="H241" s="156">
        <v>15.805</v>
      </c>
      <c r="I241" s="101" t="s">
        <v>1085</v>
      </c>
      <c r="J241" s="101" t="s">
        <v>1086</v>
      </c>
      <c r="K241" s="448">
        <v>46033</v>
      </c>
      <c r="L241" s="773" t="s">
        <v>1093</v>
      </c>
      <c r="M241" s="516" t="s">
        <v>34</v>
      </c>
      <c r="N241" s="534" t="s">
        <v>5</v>
      </c>
      <c r="O241" s="498" t="s">
        <v>1094</v>
      </c>
    </row>
    <row r="242" spans="2:28" ht="85">
      <c r="B242" s="102" t="s">
        <v>34</v>
      </c>
      <c r="C242" s="45" t="s">
        <v>901</v>
      </c>
      <c r="D242" s="45" t="s">
        <v>1172</v>
      </c>
      <c r="E242" s="542" t="s">
        <v>1305</v>
      </c>
      <c r="F242" s="46" t="s">
        <v>536</v>
      </c>
      <c r="G242" s="128" t="s">
        <v>496</v>
      </c>
      <c r="H242" s="156"/>
      <c r="I242" s="101" t="s">
        <v>246</v>
      </c>
      <c r="J242" s="138" t="s">
        <v>498</v>
      </c>
      <c r="K242" s="448">
        <v>531300</v>
      </c>
      <c r="L242" s="723" t="s">
        <v>94</v>
      </c>
      <c r="M242" s="516" t="s">
        <v>34</v>
      </c>
      <c r="N242" s="530" t="s">
        <v>6</v>
      </c>
      <c r="O242" s="289" t="s">
        <v>497</v>
      </c>
    </row>
    <row r="243" spans="2:28" ht="56">
      <c r="B243" s="102" t="s">
        <v>34</v>
      </c>
      <c r="C243" s="71" t="s">
        <v>1163</v>
      </c>
      <c r="D243" s="45" t="s">
        <v>1147</v>
      </c>
      <c r="E243" s="542" t="s">
        <v>1306</v>
      </c>
      <c r="F243" s="597" t="s">
        <v>1148</v>
      </c>
      <c r="G243" s="46" t="s">
        <v>1149</v>
      </c>
      <c r="H243" s="156"/>
      <c r="I243" s="101" t="s">
        <v>1150</v>
      </c>
      <c r="J243" s="101" t="s">
        <v>1151</v>
      </c>
      <c r="K243" s="448">
        <v>26000</v>
      </c>
      <c r="L243" s="723" t="s">
        <v>1152</v>
      </c>
      <c r="M243" s="519" t="s">
        <v>34</v>
      </c>
      <c r="N243" s="530" t="s">
        <v>5</v>
      </c>
      <c r="O243" s="289" t="s">
        <v>1153</v>
      </c>
      <c r="AB243" s="460"/>
    </row>
    <row r="244" spans="2:28" ht="45">
      <c r="B244" s="41" t="s">
        <v>34</v>
      </c>
      <c r="C244" s="401" t="s">
        <v>11</v>
      </c>
      <c r="D244" s="230" t="s">
        <v>1154</v>
      </c>
      <c r="E244" s="542" t="s">
        <v>1306</v>
      </c>
      <c r="F244" s="231" t="s">
        <v>709</v>
      </c>
      <c r="G244" s="231">
        <v>1451595</v>
      </c>
      <c r="H244" s="232"/>
      <c r="I244" s="233">
        <v>42947</v>
      </c>
      <c r="J244" s="233">
        <v>43676</v>
      </c>
      <c r="K244" s="493">
        <v>59875</v>
      </c>
      <c r="L244" s="723"/>
      <c r="M244" s="516" t="s">
        <v>34</v>
      </c>
      <c r="N244" s="530" t="s">
        <v>5</v>
      </c>
      <c r="O244" s="289"/>
      <c r="AB244" s="460">
        <f>SUM(K213:K244)</f>
        <v>1823077.26</v>
      </c>
    </row>
    <row r="245" spans="2:28">
      <c r="L245" s="774"/>
      <c r="M245" s="526"/>
    </row>
    <row r="246" spans="2:28">
      <c r="L246" s="774"/>
      <c r="M246" s="526"/>
    </row>
    <row r="247" spans="2:28">
      <c r="L247" s="774"/>
      <c r="M247" s="526"/>
    </row>
    <row r="248" spans="2:28">
      <c r="L248" s="774"/>
      <c r="M248" s="526"/>
    </row>
    <row r="249" spans="2:28">
      <c r="L249" s="774"/>
      <c r="M249" s="526"/>
    </row>
    <row r="250" spans="2:28">
      <c r="L250" s="774"/>
      <c r="M250" s="526"/>
    </row>
    <row r="251" spans="2:28">
      <c r="L251" s="774"/>
      <c r="M251" s="526"/>
    </row>
    <row r="252" spans="2:28">
      <c r="L252" s="774"/>
      <c r="M252" s="526"/>
    </row>
    <row r="253" spans="2:28">
      <c r="L253" s="774"/>
      <c r="M253" s="526"/>
    </row>
    <row r="254" spans="2:28">
      <c r="L254" s="774"/>
      <c r="M254" s="526"/>
    </row>
    <row r="255" spans="2:28">
      <c r="L255" s="774"/>
      <c r="M255" s="526"/>
    </row>
    <row r="256" spans="2:28">
      <c r="L256" s="774"/>
      <c r="M256" s="526"/>
    </row>
    <row r="257" spans="12:13">
      <c r="L257" s="774"/>
      <c r="M257" s="526"/>
    </row>
    <row r="258" spans="12:13">
      <c r="L258" s="774"/>
      <c r="M258" s="526"/>
    </row>
    <row r="259" spans="12:13">
      <c r="L259" s="774"/>
      <c r="M259" s="526"/>
    </row>
    <row r="260" spans="12:13">
      <c r="L260" s="774"/>
      <c r="M260" s="526"/>
    </row>
    <row r="261" spans="12:13">
      <c r="L261" s="774"/>
      <c r="M261" s="526"/>
    </row>
    <row r="262" spans="12:13">
      <c r="L262" s="774"/>
      <c r="M262" s="526"/>
    </row>
    <row r="263" spans="12:13">
      <c r="L263" s="774"/>
      <c r="M263" s="526"/>
    </row>
    <row r="264" spans="12:13">
      <c r="L264" s="774"/>
      <c r="M264" s="526"/>
    </row>
    <row r="265" spans="12:13">
      <c r="L265" s="774"/>
      <c r="M265" s="526"/>
    </row>
    <row r="266" spans="12:13">
      <c r="L266" s="774"/>
      <c r="M266" s="526"/>
    </row>
    <row r="267" spans="12:13">
      <c r="L267" s="774"/>
      <c r="M267" s="526"/>
    </row>
    <row r="268" spans="12:13">
      <c r="L268" s="774"/>
      <c r="M268" s="526"/>
    </row>
    <row r="269" spans="12:13">
      <c r="L269" s="774"/>
      <c r="M269" s="526"/>
    </row>
    <row r="270" spans="12:13">
      <c r="L270" s="774"/>
      <c r="M270" s="526"/>
    </row>
    <row r="271" spans="12:13">
      <c r="L271" s="774"/>
      <c r="M271" s="526"/>
    </row>
    <row r="272" spans="12:13">
      <c r="L272" s="774"/>
      <c r="M272" s="526"/>
    </row>
    <row r="273" spans="12:13">
      <c r="L273" s="774"/>
      <c r="M273" s="526"/>
    </row>
    <row r="274" spans="12:13">
      <c r="L274" s="774"/>
      <c r="M274" s="526"/>
    </row>
    <row r="275" spans="12:13">
      <c r="L275" s="774"/>
      <c r="M275" s="526"/>
    </row>
    <row r="276" spans="12:13">
      <c r="L276" s="774"/>
      <c r="M276" s="526"/>
    </row>
    <row r="277" spans="12:13">
      <c r="L277" s="774"/>
      <c r="M277" s="526"/>
    </row>
    <row r="278" spans="12:13">
      <c r="L278" s="774"/>
      <c r="M278" s="526"/>
    </row>
    <row r="279" spans="12:13">
      <c r="L279" s="774"/>
      <c r="M279" s="526"/>
    </row>
    <row r="280" spans="12:13">
      <c r="L280" s="774"/>
      <c r="M280" s="526"/>
    </row>
    <row r="281" spans="12:13">
      <c r="L281" s="774"/>
      <c r="M281" s="526"/>
    </row>
    <row r="282" spans="12:13">
      <c r="L282" s="774"/>
      <c r="M282" s="526"/>
    </row>
    <row r="283" spans="12:13">
      <c r="L283" s="774"/>
      <c r="M283" s="526"/>
    </row>
    <row r="284" spans="12:13">
      <c r="L284" s="774"/>
      <c r="M284" s="526"/>
    </row>
    <row r="285" spans="12:13">
      <c r="L285" s="774"/>
      <c r="M285" s="526"/>
    </row>
    <row r="286" spans="12:13">
      <c r="L286" s="774"/>
      <c r="M286" s="526"/>
    </row>
    <row r="287" spans="12:13">
      <c r="L287" s="774"/>
      <c r="M287" s="526"/>
    </row>
    <row r="288" spans="12:13">
      <c r="L288" s="774"/>
      <c r="M288" s="526"/>
    </row>
    <row r="289" spans="12:13">
      <c r="L289" s="774"/>
      <c r="M289" s="526"/>
    </row>
    <row r="290" spans="12:13">
      <c r="L290" s="774"/>
      <c r="M290" s="526"/>
    </row>
    <row r="291" spans="12:13">
      <c r="L291" s="774"/>
      <c r="M291" s="526"/>
    </row>
    <row r="292" spans="12:13">
      <c r="L292" s="774"/>
      <c r="M292" s="526"/>
    </row>
    <row r="293" spans="12:13">
      <c r="L293" s="774"/>
      <c r="M293" s="526"/>
    </row>
    <row r="294" spans="12:13">
      <c r="L294" s="774"/>
      <c r="M294" s="526"/>
    </row>
    <row r="295" spans="12:13">
      <c r="L295" s="774"/>
      <c r="M295" s="526"/>
    </row>
    <row r="296" spans="12:13">
      <c r="L296" s="774"/>
      <c r="M296" s="526"/>
    </row>
    <row r="297" spans="12:13">
      <c r="L297" s="774"/>
      <c r="M297" s="526"/>
    </row>
    <row r="298" spans="12:13">
      <c r="L298" s="774"/>
      <c r="M298" s="526"/>
    </row>
    <row r="299" spans="12:13">
      <c r="L299" s="774"/>
      <c r="M299" s="526"/>
    </row>
    <row r="300" spans="12:13">
      <c r="L300" s="774"/>
      <c r="M300" s="526"/>
    </row>
    <row r="301" spans="12:13">
      <c r="L301" s="774"/>
      <c r="M301" s="526"/>
    </row>
    <row r="302" spans="12:13">
      <c r="L302" s="774"/>
      <c r="M302" s="526"/>
    </row>
    <row r="303" spans="12:13">
      <c r="L303" s="774"/>
      <c r="M303" s="526"/>
    </row>
    <row r="304" spans="12:13">
      <c r="L304" s="774"/>
      <c r="M304" s="526"/>
    </row>
    <row r="305" spans="12:13">
      <c r="L305" s="774"/>
      <c r="M305" s="526"/>
    </row>
    <row r="306" spans="12:13">
      <c r="L306" s="774"/>
      <c r="M306" s="526"/>
    </row>
    <row r="307" spans="12:13">
      <c r="L307" s="774"/>
      <c r="M307" s="526"/>
    </row>
    <row r="308" spans="12:13">
      <c r="L308" s="774"/>
      <c r="M308" s="526"/>
    </row>
    <row r="309" spans="12:13">
      <c r="L309" s="774"/>
      <c r="M309" s="526"/>
    </row>
    <row r="310" spans="12:13">
      <c r="L310" s="774"/>
      <c r="M310" s="526"/>
    </row>
    <row r="311" spans="12:13">
      <c r="L311" s="774"/>
      <c r="M311" s="526"/>
    </row>
    <row r="312" spans="12:13">
      <c r="L312" s="774"/>
      <c r="M312" s="526"/>
    </row>
    <row r="313" spans="12:13">
      <c r="L313" s="774"/>
      <c r="M313" s="526"/>
    </row>
    <row r="314" spans="12:13">
      <c r="L314" s="774"/>
      <c r="M314" s="526"/>
    </row>
    <row r="315" spans="12:13">
      <c r="L315" s="774"/>
      <c r="M315" s="526"/>
    </row>
    <row r="316" spans="12:13">
      <c r="L316" s="774"/>
      <c r="M316" s="526"/>
    </row>
    <row r="317" spans="12:13">
      <c r="L317" s="774"/>
      <c r="M317" s="526"/>
    </row>
    <row r="318" spans="12:13">
      <c r="L318" s="774"/>
      <c r="M318" s="526"/>
    </row>
    <row r="319" spans="12:13">
      <c r="L319" s="774"/>
      <c r="M319" s="526"/>
    </row>
    <row r="320" spans="12:13">
      <c r="L320" s="774"/>
      <c r="M320" s="526"/>
    </row>
    <row r="321" spans="12:13">
      <c r="L321" s="774"/>
      <c r="M321" s="526"/>
    </row>
    <row r="322" spans="12:13">
      <c r="L322" s="774"/>
      <c r="M322" s="526"/>
    </row>
    <row r="323" spans="12:13">
      <c r="L323" s="774"/>
      <c r="M323" s="526"/>
    </row>
    <row r="324" spans="12:13">
      <c r="L324" s="774"/>
      <c r="M324" s="526"/>
    </row>
    <row r="325" spans="12:13">
      <c r="L325" s="774"/>
      <c r="M325" s="526"/>
    </row>
    <row r="326" spans="12:13">
      <c r="L326" s="774"/>
      <c r="M326" s="526"/>
    </row>
    <row r="327" spans="12:13">
      <c r="L327" s="774"/>
      <c r="M327" s="526"/>
    </row>
    <row r="328" spans="12:13">
      <c r="L328" s="774"/>
      <c r="M328" s="526"/>
    </row>
    <row r="329" spans="12:13">
      <c r="L329" s="774"/>
      <c r="M329" s="526"/>
    </row>
    <row r="330" spans="12:13">
      <c r="L330" s="774"/>
      <c r="M330" s="526"/>
    </row>
    <row r="331" spans="12:13">
      <c r="L331" s="774"/>
      <c r="M331" s="526"/>
    </row>
    <row r="332" spans="12:13">
      <c r="L332" s="774"/>
      <c r="M332" s="526"/>
    </row>
    <row r="333" spans="12:13">
      <c r="L333" s="774"/>
      <c r="M333" s="526"/>
    </row>
    <row r="334" spans="12:13">
      <c r="L334" s="774"/>
      <c r="M334" s="526"/>
    </row>
    <row r="335" spans="12:13">
      <c r="L335" s="774"/>
      <c r="M335" s="526"/>
    </row>
    <row r="336" spans="12:13">
      <c r="L336" s="774"/>
      <c r="M336" s="526"/>
    </row>
    <row r="337" spans="12:13">
      <c r="L337" s="774"/>
      <c r="M337" s="526"/>
    </row>
    <row r="338" spans="12:13">
      <c r="L338" s="774"/>
      <c r="M338" s="526"/>
    </row>
    <row r="339" spans="12:13">
      <c r="L339" s="774"/>
      <c r="M339" s="526"/>
    </row>
    <row r="340" spans="12:13">
      <c r="L340" s="774"/>
      <c r="M340" s="526"/>
    </row>
    <row r="341" spans="12:13">
      <c r="L341" s="774"/>
      <c r="M341" s="526"/>
    </row>
    <row r="342" spans="12:13">
      <c r="L342" s="774"/>
      <c r="M342" s="526"/>
    </row>
    <row r="343" spans="12:13">
      <c r="L343" s="774"/>
      <c r="M343" s="526"/>
    </row>
    <row r="344" spans="12:13">
      <c r="L344" s="774"/>
      <c r="M344" s="526"/>
    </row>
    <row r="345" spans="12:13">
      <c r="L345" s="774"/>
      <c r="M345" s="526"/>
    </row>
    <row r="346" spans="12:13">
      <c r="L346" s="774"/>
      <c r="M346" s="526"/>
    </row>
    <row r="347" spans="12:13">
      <c r="L347" s="774"/>
      <c r="M347" s="526"/>
    </row>
    <row r="348" spans="12:13">
      <c r="L348" s="774"/>
      <c r="M348" s="526"/>
    </row>
    <row r="349" spans="12:13">
      <c r="L349" s="774"/>
      <c r="M349" s="526"/>
    </row>
    <row r="350" spans="12:13">
      <c r="L350" s="774"/>
      <c r="M350" s="526"/>
    </row>
    <row r="351" spans="12:13">
      <c r="L351" s="774"/>
      <c r="M351" s="526"/>
    </row>
    <row r="352" spans="12:13">
      <c r="L352" s="774"/>
      <c r="M352" s="526"/>
    </row>
    <row r="353" spans="12:13">
      <c r="L353" s="774"/>
      <c r="M353" s="526"/>
    </row>
    <row r="354" spans="12:13">
      <c r="L354" s="774"/>
      <c r="M354" s="526"/>
    </row>
    <row r="355" spans="12:13">
      <c r="L355" s="774"/>
      <c r="M355" s="526"/>
    </row>
    <row r="356" spans="12:13">
      <c r="L356" s="774"/>
      <c r="M356" s="526"/>
    </row>
    <row r="357" spans="12:13">
      <c r="L357" s="774"/>
      <c r="M357" s="526"/>
    </row>
    <row r="358" spans="12:13">
      <c r="L358" s="774"/>
      <c r="M358" s="526"/>
    </row>
    <row r="359" spans="12:13">
      <c r="L359" s="774"/>
      <c r="M359" s="526"/>
    </row>
    <row r="360" spans="12:13">
      <c r="L360" s="774"/>
      <c r="M360" s="526"/>
    </row>
    <row r="361" spans="12:13">
      <c r="L361" s="774"/>
      <c r="M361" s="526"/>
    </row>
    <row r="362" spans="12:13">
      <c r="L362" s="774"/>
      <c r="M362" s="526"/>
    </row>
    <row r="363" spans="12:13">
      <c r="L363" s="774"/>
      <c r="M363" s="526"/>
    </row>
    <row r="364" spans="12:13">
      <c r="L364" s="774"/>
      <c r="M364" s="526"/>
    </row>
    <row r="365" spans="12:13">
      <c r="L365" s="774"/>
      <c r="M365" s="526"/>
    </row>
    <row r="366" spans="12:13">
      <c r="L366" s="774"/>
      <c r="M366" s="526"/>
    </row>
    <row r="367" spans="12:13">
      <c r="L367" s="774"/>
      <c r="M367" s="526"/>
    </row>
    <row r="368" spans="12:13">
      <c r="L368" s="774"/>
      <c r="M368" s="526"/>
    </row>
    <row r="369" spans="12:13">
      <c r="L369" s="774"/>
      <c r="M369" s="526"/>
    </row>
    <row r="370" spans="12:13">
      <c r="L370" s="774"/>
      <c r="M370" s="526"/>
    </row>
    <row r="371" spans="12:13">
      <c r="L371" s="774"/>
      <c r="M371" s="526"/>
    </row>
    <row r="372" spans="12:13">
      <c r="L372" s="774"/>
      <c r="M372" s="526"/>
    </row>
    <row r="373" spans="12:13">
      <c r="L373" s="774"/>
      <c r="M373" s="526"/>
    </row>
    <row r="374" spans="12:13">
      <c r="L374" s="774"/>
      <c r="M374" s="526"/>
    </row>
    <row r="375" spans="12:13">
      <c r="L375" s="774"/>
      <c r="M375" s="526"/>
    </row>
    <row r="376" spans="12:13">
      <c r="L376" s="774"/>
      <c r="M376" s="526"/>
    </row>
    <row r="377" spans="12:13">
      <c r="L377" s="774"/>
      <c r="M377" s="526"/>
    </row>
    <row r="378" spans="12:13">
      <c r="L378" s="774"/>
      <c r="M378" s="526"/>
    </row>
    <row r="379" spans="12:13">
      <c r="L379" s="774"/>
      <c r="M379" s="526"/>
    </row>
    <row r="380" spans="12:13">
      <c r="L380" s="774"/>
      <c r="M380" s="526"/>
    </row>
    <row r="381" spans="12:13">
      <c r="L381" s="774"/>
      <c r="M381" s="526"/>
    </row>
    <row r="382" spans="12:13">
      <c r="L382" s="774"/>
      <c r="M382" s="526"/>
    </row>
  </sheetData>
  <sortState xmlns:xlrd2="http://schemas.microsoft.com/office/spreadsheetml/2017/richdata2" ref="B35:O117">
    <sortCondition ref="D35:D117"/>
    <sortCondition ref="F35:F117"/>
  </sortState>
  <mergeCells count="5">
    <mergeCell ref="D3:J3"/>
    <mergeCell ref="L200:L204"/>
    <mergeCell ref="N200:N204"/>
    <mergeCell ref="O200:O204"/>
    <mergeCell ref="M200:M204"/>
  </mergeCells>
  <phoneticPr fontId="11" type="noConversion"/>
  <pageMargins left="0.25" right="0.25" top="0.75" bottom="0.75" header="0.3" footer="0.3"/>
  <pageSetup paperSize="5" scale="74" fitToHeight="0" orientation="landscape" r:id="rId1"/>
  <ignoredErrors>
    <ignoredError sqref="I123:J123 I212:J212 I57 J90:J96 I91 J116:J122 J135 I119:I122 I135:I142 J144:J146 I184:J190 I179:J182 J88 I89:J89 I196:J206 J137:J142 I128:I133 J128:J133" twoDigitTextYear="1"/>
    <ignoredError sqref="AB117 AB204" formulaRange="1"/>
    <ignoredError sqref="H195" numberStoredAsText="1"/>
  </ignoredErrors>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11"/>
  <sheetViews>
    <sheetView zoomScale="125" zoomScaleNormal="125" workbookViewId="0">
      <selection activeCell="I4" sqref="I4"/>
    </sheetView>
  </sheetViews>
  <sheetFormatPr baseColWidth="10" defaultColWidth="10.83203125" defaultRowHeight="16"/>
  <cols>
    <col min="1" max="1" width="3.5" style="25" customWidth="1"/>
    <col min="2" max="2" width="10.83203125" style="25"/>
    <col min="3" max="3" width="10.83203125" style="38"/>
    <col min="4" max="4" width="28.5" style="25" customWidth="1"/>
    <col min="5" max="5" width="18" style="25" customWidth="1"/>
    <col min="6" max="6" width="14" style="25" bestFit="1" customWidth="1"/>
    <col min="7" max="7" width="11" style="13" bestFit="1" customWidth="1"/>
    <col min="8" max="8" width="10.83203125" style="25"/>
    <col min="9" max="9" width="10.83203125" style="217"/>
    <col min="10" max="10" width="15" style="216" bestFit="1" customWidth="1"/>
    <col min="11" max="11" width="15" style="25" customWidth="1"/>
    <col min="12" max="12" width="10.83203125" style="25"/>
    <col min="13" max="13" width="38.33203125" style="25" customWidth="1"/>
    <col min="14" max="15" width="12.6640625" style="25" hidden="1" customWidth="1"/>
    <col min="16" max="16" width="4.6640625" style="25" hidden="1" customWidth="1"/>
    <col min="17" max="17" width="12.6640625" style="25" hidden="1" customWidth="1"/>
    <col min="18" max="18" width="11.6640625" style="25" hidden="1" customWidth="1"/>
    <col min="19" max="19" width="12.6640625" style="25" hidden="1" customWidth="1"/>
    <col min="20" max="21" width="11.6640625" style="25" hidden="1" customWidth="1"/>
    <col min="22" max="23" width="12.6640625" style="25" hidden="1" customWidth="1"/>
    <col min="24" max="24" width="14.5" style="25" hidden="1" customWidth="1"/>
    <col min="25" max="25" width="11" style="25" hidden="1" customWidth="1"/>
    <col min="26" max="16384" width="10.83203125" style="25"/>
  </cols>
  <sheetData>
    <row r="1" spans="1:25" s="306" customFormat="1" ht="111" thickBot="1">
      <c r="A1" s="307"/>
      <c r="B1" s="295" t="s">
        <v>7</v>
      </c>
      <c r="C1" s="295" t="s">
        <v>12</v>
      </c>
      <c r="D1" s="295" t="s">
        <v>3</v>
      </c>
      <c r="E1" s="281" t="s">
        <v>1</v>
      </c>
      <c r="F1" s="281" t="s">
        <v>287</v>
      </c>
      <c r="G1" s="296" t="s">
        <v>64</v>
      </c>
      <c r="H1" s="297" t="s">
        <v>601</v>
      </c>
      <c r="I1" s="297" t="s">
        <v>602</v>
      </c>
      <c r="J1" s="298" t="s">
        <v>187</v>
      </c>
      <c r="K1" s="299" t="s">
        <v>603</v>
      </c>
      <c r="L1" s="300" t="s">
        <v>2</v>
      </c>
      <c r="M1" s="295" t="s">
        <v>604</v>
      </c>
      <c r="N1" s="303" t="s">
        <v>188</v>
      </c>
      <c r="O1" s="304" t="s">
        <v>189</v>
      </c>
      <c r="P1" s="304" t="s">
        <v>190</v>
      </c>
      <c r="Q1" s="304" t="s">
        <v>191</v>
      </c>
      <c r="R1" s="304" t="s">
        <v>192</v>
      </c>
      <c r="S1" s="304" t="s">
        <v>193</v>
      </c>
      <c r="T1" s="304" t="s">
        <v>194</v>
      </c>
      <c r="U1" s="304" t="s">
        <v>195</v>
      </c>
      <c r="V1" s="304" t="s">
        <v>196</v>
      </c>
      <c r="W1" s="303" t="s">
        <v>197</v>
      </c>
      <c r="X1" s="305"/>
      <c r="Y1" s="305"/>
    </row>
    <row r="2" spans="1:25" s="63" customFormat="1" ht="34">
      <c r="A2" s="69"/>
      <c r="B2" s="120" t="s">
        <v>1434</v>
      </c>
      <c r="C2" s="207" t="s">
        <v>925</v>
      </c>
      <c r="D2" s="121" t="s">
        <v>928</v>
      </c>
      <c r="E2" s="204" t="s">
        <v>751</v>
      </c>
      <c r="F2" s="205"/>
      <c r="G2" s="161">
        <v>93.31</v>
      </c>
      <c r="H2" s="193" t="s">
        <v>926</v>
      </c>
      <c r="I2" s="137" t="s">
        <v>927</v>
      </c>
      <c r="J2" s="200">
        <v>704355</v>
      </c>
      <c r="K2" s="121" t="s">
        <v>999</v>
      </c>
      <c r="L2" s="121" t="s">
        <v>6</v>
      </c>
      <c r="M2" s="121" t="s">
        <v>924</v>
      </c>
      <c r="N2" s="62">
        <v>344447</v>
      </c>
      <c r="O2" s="62">
        <f>931128+155</f>
        <v>931283</v>
      </c>
      <c r="P2" s="62"/>
      <c r="Q2" s="62">
        <v>175215</v>
      </c>
      <c r="R2" s="62">
        <v>47000</v>
      </c>
      <c r="S2" s="62">
        <v>225000</v>
      </c>
      <c r="T2" s="62">
        <v>32300</v>
      </c>
      <c r="U2" s="62">
        <v>10000</v>
      </c>
      <c r="V2" s="62">
        <v>152758</v>
      </c>
      <c r="W2" s="62">
        <v>752680</v>
      </c>
      <c r="X2" s="122">
        <f>SUM(N2:W2)</f>
        <v>2670683</v>
      </c>
      <c r="Y2" s="123">
        <f>X2-J2</f>
        <v>1966328</v>
      </c>
    </row>
    <row r="3" spans="1:25" s="649" customFormat="1" ht="97" customHeight="1">
      <c r="A3" s="639"/>
      <c r="B3" s="640" t="s">
        <v>1434</v>
      </c>
      <c r="C3" s="641" t="s">
        <v>1453</v>
      </c>
      <c r="D3" s="641" t="s">
        <v>1454</v>
      </c>
      <c r="E3" s="650"/>
      <c r="F3" s="642" t="s">
        <v>1414</v>
      </c>
      <c r="G3" s="643"/>
      <c r="H3" s="644"/>
      <c r="I3" s="645"/>
      <c r="J3" s="646"/>
      <c r="K3" s="641" t="s">
        <v>1455</v>
      </c>
      <c r="L3" s="641"/>
      <c r="M3" s="641" t="s">
        <v>1415</v>
      </c>
      <c r="N3" s="647"/>
      <c r="O3" s="647"/>
      <c r="P3" s="647"/>
      <c r="Q3" s="647"/>
      <c r="R3" s="647"/>
      <c r="S3" s="647"/>
      <c r="T3" s="647"/>
      <c r="U3" s="647"/>
      <c r="V3" s="647"/>
      <c r="W3" s="647"/>
      <c r="X3" s="648"/>
      <c r="Y3" s="648"/>
    </row>
    <row r="4" spans="1:25" s="63" customFormat="1" ht="34">
      <c r="A4" s="69"/>
      <c r="B4" s="90" t="s">
        <v>1434</v>
      </c>
      <c r="C4" s="107" t="s">
        <v>921</v>
      </c>
      <c r="D4" s="71" t="s">
        <v>923</v>
      </c>
      <c r="E4" s="128" t="s">
        <v>689</v>
      </c>
      <c r="F4" s="111" t="s">
        <v>291</v>
      </c>
      <c r="G4" s="156">
        <v>93.307000000000002</v>
      </c>
      <c r="H4" s="101" t="s">
        <v>35</v>
      </c>
      <c r="I4" s="138" t="s">
        <v>922</v>
      </c>
      <c r="J4" s="201">
        <v>2500000</v>
      </c>
      <c r="K4" s="71" t="s">
        <v>999</v>
      </c>
      <c r="L4" s="71" t="s">
        <v>6</v>
      </c>
      <c r="M4" s="71" t="s">
        <v>920</v>
      </c>
      <c r="N4" s="62"/>
      <c r="O4" s="62"/>
      <c r="P4" s="62"/>
      <c r="Q4" s="62"/>
      <c r="R4" s="62"/>
      <c r="S4" s="62"/>
      <c r="T4" s="62"/>
      <c r="U4" s="62"/>
      <c r="V4" s="62"/>
      <c r="W4" s="62"/>
      <c r="X4" s="92"/>
      <c r="Y4" s="92"/>
    </row>
    <row r="5" spans="1:25" s="63" customFormat="1" ht="51">
      <c r="A5" s="69"/>
      <c r="B5" s="213" t="s">
        <v>1434</v>
      </c>
      <c r="C5" s="211" t="s">
        <v>18</v>
      </c>
      <c r="D5" s="208" t="s">
        <v>944</v>
      </c>
      <c r="E5" s="226" t="s">
        <v>970</v>
      </c>
      <c r="F5" s="226"/>
      <c r="G5" s="224">
        <v>93.106999999999999</v>
      </c>
      <c r="H5" s="222">
        <v>42979</v>
      </c>
      <c r="I5" s="220">
        <v>44804</v>
      </c>
      <c r="J5" s="218">
        <v>1587150</v>
      </c>
      <c r="K5" s="71" t="s">
        <v>999</v>
      </c>
      <c r="L5" s="71" t="s">
        <v>5</v>
      </c>
      <c r="M5" s="71"/>
      <c r="N5" s="62"/>
      <c r="O5" s="62"/>
      <c r="P5" s="62"/>
      <c r="Q5" s="62"/>
      <c r="R5" s="62"/>
      <c r="S5" s="62"/>
      <c r="T5" s="62"/>
      <c r="U5" s="62"/>
      <c r="V5" s="62"/>
      <c r="W5" s="62"/>
      <c r="X5" s="92"/>
      <c r="Y5" s="92"/>
    </row>
    <row r="6" spans="1:25" s="63" customFormat="1" ht="52" thickBot="1">
      <c r="A6" s="69"/>
      <c r="B6" s="214" t="s">
        <v>1434</v>
      </c>
      <c r="C6" s="212" t="s">
        <v>18</v>
      </c>
      <c r="D6" s="210" t="s">
        <v>945</v>
      </c>
      <c r="E6" s="227" t="s">
        <v>971</v>
      </c>
      <c r="F6" s="227"/>
      <c r="G6" s="225">
        <v>93.106999999999999</v>
      </c>
      <c r="H6" s="223">
        <v>41760</v>
      </c>
      <c r="I6" s="221">
        <v>42978</v>
      </c>
      <c r="J6" s="219">
        <v>750000</v>
      </c>
      <c r="K6" s="64" t="s">
        <v>999</v>
      </c>
      <c r="L6" s="64" t="s">
        <v>5</v>
      </c>
      <c r="M6" s="64"/>
      <c r="N6" s="62"/>
      <c r="O6" s="62"/>
      <c r="P6" s="62"/>
      <c r="Q6" s="62"/>
      <c r="R6" s="62"/>
      <c r="S6" s="62"/>
      <c r="T6" s="62"/>
      <c r="U6" s="62"/>
      <c r="V6" s="62"/>
      <c r="W6" s="62"/>
      <c r="X6" s="92"/>
      <c r="Y6" s="92"/>
    </row>
    <row r="7" spans="1:25" ht="25" customHeight="1" thickTop="1">
      <c r="B7" s="815"/>
      <c r="C7" s="815"/>
      <c r="D7" s="815"/>
      <c r="E7" s="815"/>
      <c r="F7" s="815"/>
      <c r="G7" s="815"/>
      <c r="H7" s="815"/>
      <c r="I7" s="815"/>
      <c r="J7" s="444">
        <f>SUM(J2:J6)</f>
        <v>5541505</v>
      </c>
      <c r="K7" s="32"/>
      <c r="L7" s="32"/>
      <c r="M7" s="32"/>
      <c r="N7" s="30"/>
      <c r="O7" s="30"/>
      <c r="P7" s="30"/>
      <c r="Q7" s="30"/>
    </row>
    <row r="8" spans="1:25" ht="25">
      <c r="B8" s="811" t="s">
        <v>976</v>
      </c>
      <c r="C8" s="811"/>
      <c r="D8" s="811"/>
      <c r="H8" s="37"/>
      <c r="I8" s="215"/>
    </row>
    <row r="9" spans="1:25">
      <c r="H9" s="37"/>
      <c r="I9" s="215"/>
    </row>
    <row r="10" spans="1:25">
      <c r="H10" s="37"/>
      <c r="I10" s="215"/>
    </row>
    <row r="11" spans="1:25">
      <c r="H11" s="37"/>
      <c r="I11" s="215"/>
    </row>
  </sheetData>
  <sortState xmlns:xlrd2="http://schemas.microsoft.com/office/spreadsheetml/2017/richdata2" ref="B2:M6">
    <sortCondition ref="E2:E6"/>
  </sortState>
  <mergeCells count="2">
    <mergeCell ref="B7:I7"/>
    <mergeCell ref="B8:D8"/>
  </mergeCells>
  <pageMargins left="0.75" right="0.75" top="1" bottom="1" header="0.5" footer="0.5"/>
  <pageSetup paperSize="9" scale="67" fitToHeight="0"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37"/>
  <sheetViews>
    <sheetView zoomScale="125" zoomScaleNormal="125" workbookViewId="0">
      <pane ySplit="2" topLeftCell="A12" activePane="bottomLeft" state="frozen"/>
      <selection activeCell="E19" sqref="E19"/>
      <selection pane="bottomLeft" activeCell="E33" sqref="E33"/>
    </sheetView>
  </sheetViews>
  <sheetFormatPr baseColWidth="10" defaultColWidth="11.5" defaultRowHeight="15"/>
  <cols>
    <col min="1" max="1" width="3.83203125" customWidth="1"/>
    <col min="2" max="2" width="6.33203125" style="370" bestFit="1" customWidth="1"/>
    <col min="3" max="3" width="14.1640625" style="370" bestFit="1" customWidth="1"/>
    <col min="4" max="4" width="42.33203125" style="373" customWidth="1"/>
    <col min="5" max="5" width="18.6640625" bestFit="1" customWidth="1"/>
    <col min="6" max="6" width="20.6640625" bestFit="1" customWidth="1"/>
    <col min="7" max="7" width="8.5" style="157" bestFit="1" customWidth="1"/>
    <col min="8" max="8" width="12.6640625" style="144" bestFit="1" customWidth="1"/>
    <col min="9" max="9" width="9.33203125" style="141" bestFit="1" customWidth="1"/>
    <col min="10" max="10" width="18.6640625" style="262" bestFit="1" customWidth="1"/>
    <col min="11" max="11" width="23" bestFit="1" customWidth="1"/>
    <col min="12" max="12" width="14" customWidth="1"/>
    <col min="13" max="13" width="54.5" customWidth="1"/>
    <col min="14" max="14" width="11.83203125" hidden="1" customWidth="1"/>
    <col min="15" max="15" width="11.6640625" hidden="1" customWidth="1"/>
    <col min="16" max="16" width="11.83203125" hidden="1" customWidth="1"/>
    <col min="17" max="17" width="12.33203125" hidden="1" customWidth="1"/>
    <col min="18" max="18" width="11.6640625" hidden="1" customWidth="1"/>
    <col min="19" max="19" width="11.83203125" hidden="1" customWidth="1"/>
    <col min="20" max="21" width="11.6640625" hidden="1" customWidth="1"/>
    <col min="22" max="23" width="11.83203125" hidden="1" customWidth="1"/>
    <col min="24" max="24" width="11.6640625" hidden="1" customWidth="1"/>
    <col min="25" max="25" width="5.6640625" hidden="1" customWidth="1"/>
    <col min="26" max="26" width="11.5" style="405"/>
  </cols>
  <sheetData>
    <row r="1" spans="1:26" ht="16" thickBot="1"/>
    <row r="2" spans="1:26" s="306" customFormat="1" ht="109">
      <c r="A2" s="301"/>
      <c r="B2" s="380" t="s">
        <v>7</v>
      </c>
      <c r="C2" s="380" t="s">
        <v>12</v>
      </c>
      <c r="D2" s="380" t="s">
        <v>3</v>
      </c>
      <c r="E2" s="381" t="s">
        <v>1</v>
      </c>
      <c r="F2" s="381" t="s">
        <v>287</v>
      </c>
      <c r="G2" s="382" t="s">
        <v>64</v>
      </c>
      <c r="H2" s="383" t="s">
        <v>601</v>
      </c>
      <c r="I2" s="383" t="s">
        <v>602</v>
      </c>
      <c r="J2" s="384" t="s">
        <v>187</v>
      </c>
      <c r="K2" s="385" t="s">
        <v>603</v>
      </c>
      <c r="L2" s="386" t="s">
        <v>2</v>
      </c>
      <c r="M2" s="387" t="s">
        <v>604</v>
      </c>
      <c r="N2" s="303" t="s">
        <v>188</v>
      </c>
      <c r="O2" s="304" t="s">
        <v>189</v>
      </c>
      <c r="P2" s="304" t="s">
        <v>190</v>
      </c>
      <c r="Q2" s="304" t="s">
        <v>191</v>
      </c>
      <c r="R2" s="304" t="s">
        <v>192</v>
      </c>
      <c r="S2" s="304" t="s">
        <v>193</v>
      </c>
      <c r="T2" s="304" t="s">
        <v>194</v>
      </c>
      <c r="U2" s="304" t="s">
        <v>195</v>
      </c>
      <c r="V2" s="304" t="s">
        <v>196</v>
      </c>
      <c r="W2" s="303" t="s">
        <v>197</v>
      </c>
      <c r="X2" s="305"/>
      <c r="Y2" s="305"/>
      <c r="Z2" s="404" t="s">
        <v>1166</v>
      </c>
    </row>
    <row r="3" spans="1:26" s="124" customFormat="1" ht="85">
      <c r="B3" s="70" t="s">
        <v>34</v>
      </c>
      <c r="C3" s="70" t="s">
        <v>1163</v>
      </c>
      <c r="D3" s="71" t="s">
        <v>1119</v>
      </c>
      <c r="E3" s="73" t="s">
        <v>114</v>
      </c>
      <c r="F3" s="93" t="s">
        <v>476</v>
      </c>
      <c r="G3" s="156">
        <v>15.805</v>
      </c>
      <c r="H3" s="101" t="s">
        <v>711</v>
      </c>
      <c r="I3" s="138" t="s">
        <v>712</v>
      </c>
      <c r="J3" s="72">
        <v>7942</v>
      </c>
      <c r="K3" s="70" t="s">
        <v>184</v>
      </c>
      <c r="L3" s="71" t="s">
        <v>5</v>
      </c>
      <c r="M3" s="71" t="s">
        <v>477</v>
      </c>
      <c r="N3" s="376">
        <v>4712</v>
      </c>
      <c r="O3" s="62"/>
      <c r="P3" s="62"/>
      <c r="Q3" s="62">
        <v>68</v>
      </c>
      <c r="R3" s="62"/>
      <c r="S3" s="62">
        <v>23280</v>
      </c>
      <c r="T3" s="62"/>
      <c r="U3" s="62"/>
      <c r="V3" s="62"/>
      <c r="W3" s="62"/>
      <c r="X3" s="125">
        <f t="shared" ref="X3" si="0">SUM(N3:W3)</f>
        <v>28060</v>
      </c>
      <c r="Y3" s="126">
        <f t="shared" ref="Y3" si="1">X3-J3</f>
        <v>20118</v>
      </c>
      <c r="Z3" s="406"/>
    </row>
    <row r="4" spans="1:26" s="370" customFormat="1" ht="68">
      <c r="B4" s="102" t="s">
        <v>34</v>
      </c>
      <c r="C4" s="22" t="s">
        <v>1165</v>
      </c>
      <c r="D4" s="22" t="s">
        <v>1095</v>
      </c>
      <c r="E4" s="371" t="s">
        <v>1096</v>
      </c>
      <c r="F4" s="372" t="s">
        <v>1097</v>
      </c>
      <c r="G4" s="176">
        <v>43.008000000000003</v>
      </c>
      <c r="H4" s="108" t="s">
        <v>1098</v>
      </c>
      <c r="I4" s="108" t="s">
        <v>1099</v>
      </c>
      <c r="J4" s="374">
        <v>248999.26</v>
      </c>
      <c r="K4" s="21" t="s">
        <v>94</v>
      </c>
      <c r="L4" s="22" t="s">
        <v>6</v>
      </c>
      <c r="M4" s="22" t="s">
        <v>1100</v>
      </c>
      <c r="N4" s="377"/>
      <c r="Z4" s="407"/>
    </row>
    <row r="5" spans="1:26" s="370" customFormat="1" ht="153">
      <c r="B5" s="102" t="s">
        <v>34</v>
      </c>
      <c r="C5" s="22" t="s">
        <v>1364</v>
      </c>
      <c r="D5" s="22" t="s">
        <v>1378</v>
      </c>
      <c r="E5" s="586"/>
      <c r="F5" s="372" t="s">
        <v>1377</v>
      </c>
      <c r="G5" s="176">
        <v>93.143000000000001</v>
      </c>
      <c r="H5" s="108" t="s">
        <v>1229</v>
      </c>
      <c r="I5" s="108" t="s">
        <v>698</v>
      </c>
      <c r="J5" s="374">
        <v>25903</v>
      </c>
      <c r="K5" s="21" t="s">
        <v>1087</v>
      </c>
      <c r="L5" s="22" t="s">
        <v>6</v>
      </c>
      <c r="M5" s="22" t="s">
        <v>1365</v>
      </c>
      <c r="N5" s="377"/>
      <c r="Z5" s="407"/>
    </row>
    <row r="6" spans="1:26" s="370" customFormat="1" ht="102">
      <c r="B6" s="102" t="s">
        <v>34</v>
      </c>
      <c r="C6" s="70" t="s">
        <v>1163</v>
      </c>
      <c r="D6" s="45" t="s">
        <v>1101</v>
      </c>
      <c r="E6" s="128" t="s">
        <v>1102</v>
      </c>
      <c r="F6" s="46" t="s">
        <v>1103</v>
      </c>
      <c r="G6" s="156">
        <v>15.805</v>
      </c>
      <c r="H6" s="101" t="s">
        <v>711</v>
      </c>
      <c r="I6" s="101" t="s">
        <v>710</v>
      </c>
      <c r="J6" s="129">
        <v>38731</v>
      </c>
      <c r="K6" s="102" t="s">
        <v>182</v>
      </c>
      <c r="L6" s="45" t="s">
        <v>5</v>
      </c>
      <c r="M6" s="45" t="s">
        <v>438</v>
      </c>
      <c r="N6" s="377"/>
      <c r="Z6" s="407"/>
    </row>
    <row r="7" spans="1:26" s="124" customFormat="1" ht="34">
      <c r="B7" s="70" t="s">
        <v>34</v>
      </c>
      <c r="C7" s="70" t="s">
        <v>1163</v>
      </c>
      <c r="D7" s="71" t="s">
        <v>456</v>
      </c>
      <c r="E7" s="73" t="s">
        <v>117</v>
      </c>
      <c r="F7" s="93" t="s">
        <v>459</v>
      </c>
      <c r="G7" s="156">
        <v>15.805</v>
      </c>
      <c r="H7" s="101" t="s">
        <v>711</v>
      </c>
      <c r="I7" s="138" t="s">
        <v>710</v>
      </c>
      <c r="J7" s="72">
        <v>23465</v>
      </c>
      <c r="K7" s="70" t="s">
        <v>183</v>
      </c>
      <c r="L7" s="71" t="s">
        <v>5</v>
      </c>
      <c r="M7" s="71" t="s">
        <v>457</v>
      </c>
      <c r="N7" s="376">
        <v>4350</v>
      </c>
      <c r="O7" s="62"/>
      <c r="P7" s="62">
        <v>6342</v>
      </c>
      <c r="Q7" s="62">
        <f>63+485</f>
        <v>548</v>
      </c>
      <c r="R7" s="62">
        <v>9450</v>
      </c>
      <c r="S7" s="62"/>
      <c r="T7" s="62">
        <v>908</v>
      </c>
      <c r="U7" s="62"/>
      <c r="V7" s="62">
        <v>4138</v>
      </c>
      <c r="W7" s="62"/>
      <c r="X7" s="125">
        <f t="shared" ref="X7:X28" si="2">SUM(N7:W7)</f>
        <v>25736</v>
      </c>
      <c r="Y7" s="126">
        <f t="shared" ref="Y7:Y28" si="3">X7-J7</f>
        <v>2271</v>
      </c>
      <c r="Z7" s="406"/>
    </row>
    <row r="8" spans="1:26" s="370" customFormat="1" ht="119">
      <c r="B8" s="70" t="s">
        <v>34</v>
      </c>
      <c r="C8" s="70" t="s">
        <v>1163</v>
      </c>
      <c r="D8" s="368" t="s">
        <v>1104</v>
      </c>
      <c r="E8" s="70" t="s">
        <v>1105</v>
      </c>
      <c r="F8" s="368" t="s">
        <v>1084</v>
      </c>
      <c r="G8" s="156">
        <v>15.805</v>
      </c>
      <c r="H8" s="101" t="s">
        <v>1085</v>
      </c>
      <c r="I8" s="101" t="s">
        <v>1086</v>
      </c>
      <c r="J8" s="72">
        <v>6980</v>
      </c>
      <c r="K8" s="369" t="s">
        <v>184</v>
      </c>
      <c r="L8" s="71" t="s">
        <v>5</v>
      </c>
      <c r="M8" s="71" t="s">
        <v>1106</v>
      </c>
      <c r="N8" s="377"/>
      <c r="Z8" s="407"/>
    </row>
    <row r="9" spans="1:26" s="124" customFormat="1" ht="85">
      <c r="B9" s="70" t="s">
        <v>34</v>
      </c>
      <c r="C9" s="70" t="s">
        <v>1163</v>
      </c>
      <c r="D9" s="71" t="s">
        <v>462</v>
      </c>
      <c r="E9" s="73" t="s">
        <v>903</v>
      </c>
      <c r="F9" s="93" t="s">
        <v>463</v>
      </c>
      <c r="G9" s="156">
        <v>15.805</v>
      </c>
      <c r="H9" s="101" t="s">
        <v>711</v>
      </c>
      <c r="I9" s="138" t="s">
        <v>710</v>
      </c>
      <c r="J9" s="72">
        <v>28060</v>
      </c>
      <c r="K9" s="70" t="s">
        <v>182</v>
      </c>
      <c r="L9" s="71" t="s">
        <v>5</v>
      </c>
      <c r="M9" s="71" t="s">
        <v>464</v>
      </c>
      <c r="N9" s="376">
        <v>2900</v>
      </c>
      <c r="O9" s="62"/>
      <c r="P9" s="62"/>
      <c r="Q9" s="62">
        <v>42</v>
      </c>
      <c r="R9" s="62"/>
      <c r="S9" s="62"/>
      <c r="T9" s="62">
        <v>1000</v>
      </c>
      <c r="U9" s="62"/>
      <c r="V9" s="62">
        <v>4000</v>
      </c>
      <c r="W9" s="62"/>
      <c r="X9" s="125">
        <f t="shared" si="2"/>
        <v>7942</v>
      </c>
      <c r="Y9" s="126">
        <f t="shared" si="3"/>
        <v>-20118</v>
      </c>
      <c r="Z9" s="406"/>
    </row>
    <row r="10" spans="1:26" s="124" customFormat="1" ht="51">
      <c r="B10" s="70" t="s">
        <v>34</v>
      </c>
      <c r="C10" s="70" t="s">
        <v>1163</v>
      </c>
      <c r="D10" s="368" t="s">
        <v>1155</v>
      </c>
      <c r="E10" s="70" t="s">
        <v>1156</v>
      </c>
      <c r="F10" s="368" t="s">
        <v>1157</v>
      </c>
      <c r="G10" s="156">
        <v>15.805</v>
      </c>
      <c r="H10" s="101" t="s">
        <v>1085</v>
      </c>
      <c r="I10" s="101" t="s">
        <v>1086</v>
      </c>
      <c r="J10" s="72">
        <v>25280</v>
      </c>
      <c r="K10" s="369" t="s">
        <v>1158</v>
      </c>
      <c r="L10" s="71" t="s">
        <v>5</v>
      </c>
      <c r="M10" s="71" t="s">
        <v>1159</v>
      </c>
      <c r="N10" s="376"/>
      <c r="O10" s="62"/>
      <c r="P10" s="62"/>
      <c r="Q10" s="62"/>
      <c r="R10" s="62"/>
      <c r="S10" s="62"/>
      <c r="T10" s="62"/>
      <c r="U10" s="62"/>
      <c r="V10" s="62"/>
      <c r="W10" s="62"/>
      <c r="X10" s="125"/>
      <c r="Y10" s="126"/>
      <c r="Z10" s="406"/>
    </row>
    <row r="11" spans="1:26" s="124" customFormat="1" ht="136">
      <c r="B11" s="102" t="s">
        <v>34</v>
      </c>
      <c r="C11" s="70" t="s">
        <v>1163</v>
      </c>
      <c r="D11" s="45" t="s">
        <v>1120</v>
      </c>
      <c r="E11" s="128" t="s">
        <v>113</v>
      </c>
      <c r="F11" s="46" t="s">
        <v>449</v>
      </c>
      <c r="G11" s="156">
        <v>15.805</v>
      </c>
      <c r="H11" s="101" t="s">
        <v>711</v>
      </c>
      <c r="I11" s="138" t="s">
        <v>710</v>
      </c>
      <c r="J11" s="129">
        <v>38027</v>
      </c>
      <c r="K11" s="45" t="s">
        <v>451</v>
      </c>
      <c r="L11" s="45" t="s">
        <v>5</v>
      </c>
      <c r="M11" s="71" t="s">
        <v>450</v>
      </c>
      <c r="N11" s="376"/>
      <c r="O11" s="62"/>
      <c r="P11" s="62"/>
      <c r="Q11" s="62"/>
      <c r="R11" s="62"/>
      <c r="S11" s="62">
        <v>15250</v>
      </c>
      <c r="T11" s="62"/>
      <c r="U11" s="62"/>
      <c r="V11" s="62">
        <v>2240</v>
      </c>
      <c r="W11" s="62">
        <v>2505</v>
      </c>
      <c r="X11" s="125">
        <f t="shared" si="2"/>
        <v>19995</v>
      </c>
      <c r="Y11" s="126">
        <f t="shared" si="3"/>
        <v>-18032</v>
      </c>
      <c r="Z11" s="406"/>
    </row>
    <row r="12" spans="1:26" s="124" customFormat="1" ht="136">
      <c r="B12" s="70" t="s">
        <v>34</v>
      </c>
      <c r="C12" s="70" t="s">
        <v>1163</v>
      </c>
      <c r="D12" s="71" t="s">
        <v>441</v>
      </c>
      <c r="E12" s="93" t="s">
        <v>454</v>
      </c>
      <c r="F12" s="93" t="s">
        <v>455</v>
      </c>
      <c r="G12" s="156">
        <v>15.805</v>
      </c>
      <c r="H12" s="101" t="s">
        <v>711</v>
      </c>
      <c r="I12" s="138" t="s">
        <v>710</v>
      </c>
      <c r="J12" s="72">
        <v>25736</v>
      </c>
      <c r="K12" s="70" t="s">
        <v>184</v>
      </c>
      <c r="L12" s="71" t="s">
        <v>5</v>
      </c>
      <c r="M12" s="71" t="s">
        <v>1312</v>
      </c>
      <c r="N12" s="376">
        <v>5685</v>
      </c>
      <c r="O12" s="62"/>
      <c r="P12" s="62">
        <v>1361</v>
      </c>
      <c r="Q12" s="62">
        <f>435+104</f>
        <v>539</v>
      </c>
      <c r="R12" s="62"/>
      <c r="S12" s="62">
        <v>12942</v>
      </c>
      <c r="T12" s="62">
        <v>338</v>
      </c>
      <c r="U12" s="62">
        <v>2600</v>
      </c>
      <c r="V12" s="62"/>
      <c r="W12" s="62"/>
      <c r="X12" s="125">
        <f t="shared" si="2"/>
        <v>23465</v>
      </c>
      <c r="Y12" s="126">
        <f t="shared" si="3"/>
        <v>-2271</v>
      </c>
      <c r="Z12" s="406"/>
    </row>
    <row r="13" spans="1:26" s="370" customFormat="1" ht="115" customHeight="1">
      <c r="B13" s="70" t="s">
        <v>34</v>
      </c>
      <c r="C13" s="70" t="s">
        <v>1163</v>
      </c>
      <c r="D13" s="368" t="s">
        <v>1107</v>
      </c>
      <c r="E13" s="70" t="s">
        <v>1108</v>
      </c>
      <c r="F13" s="368" t="s">
        <v>1109</v>
      </c>
      <c r="G13" s="156">
        <v>15.805</v>
      </c>
      <c r="H13" s="101" t="s">
        <v>1082</v>
      </c>
      <c r="I13" s="101" t="s">
        <v>1086</v>
      </c>
      <c r="J13" s="72">
        <v>29756</v>
      </c>
      <c r="K13" s="369" t="s">
        <v>184</v>
      </c>
      <c r="L13" s="71" t="s">
        <v>5</v>
      </c>
      <c r="M13" s="71" t="s">
        <v>1110</v>
      </c>
      <c r="N13" s="377"/>
      <c r="Z13" s="407"/>
    </row>
    <row r="14" spans="1:26" s="124" customFormat="1" ht="68">
      <c r="B14" s="70" t="s">
        <v>34</v>
      </c>
      <c r="C14" s="71" t="s">
        <v>411</v>
      </c>
      <c r="D14" s="71" t="s">
        <v>1224</v>
      </c>
      <c r="E14" s="73" t="s">
        <v>395</v>
      </c>
      <c r="F14" s="73"/>
      <c r="G14" s="156"/>
      <c r="H14" s="101" t="s">
        <v>1082</v>
      </c>
      <c r="I14" s="138" t="s">
        <v>38</v>
      </c>
      <c r="J14" s="72">
        <v>15000</v>
      </c>
      <c r="K14" s="71" t="s">
        <v>1223</v>
      </c>
      <c r="L14" s="71" t="s">
        <v>6</v>
      </c>
      <c r="M14" s="71" t="s">
        <v>475</v>
      </c>
      <c r="N14" s="376">
        <v>2900</v>
      </c>
      <c r="O14" s="62"/>
      <c r="P14" s="62"/>
      <c r="Q14" s="62">
        <v>42</v>
      </c>
      <c r="R14" s="62"/>
      <c r="S14" s="62"/>
      <c r="T14" s="62">
        <v>1000</v>
      </c>
      <c r="U14" s="62"/>
      <c r="V14" s="62">
        <v>4000</v>
      </c>
      <c r="W14" s="62"/>
      <c r="X14" s="125">
        <f t="shared" si="2"/>
        <v>7942</v>
      </c>
      <c r="Y14" s="126">
        <f t="shared" si="3"/>
        <v>-7058</v>
      </c>
      <c r="Z14" s="406" t="s">
        <v>1167</v>
      </c>
    </row>
    <row r="15" spans="1:26" s="124" customFormat="1" ht="51">
      <c r="B15" s="70" t="s">
        <v>34</v>
      </c>
      <c r="C15" s="70" t="s">
        <v>1163</v>
      </c>
      <c r="D15" s="368" t="s">
        <v>1090</v>
      </c>
      <c r="E15" s="70" t="s">
        <v>1083</v>
      </c>
      <c r="F15" s="368" t="s">
        <v>1084</v>
      </c>
      <c r="G15" s="156">
        <v>15.805</v>
      </c>
      <c r="H15" s="101" t="s">
        <v>1085</v>
      </c>
      <c r="I15" s="101" t="s">
        <v>1086</v>
      </c>
      <c r="J15" s="72">
        <v>10090</v>
      </c>
      <c r="K15" s="369" t="s">
        <v>1087</v>
      </c>
      <c r="L15" s="71" t="s">
        <v>5</v>
      </c>
      <c r="M15" s="71" t="s">
        <v>1088</v>
      </c>
      <c r="N15" s="376"/>
      <c r="O15" s="62"/>
      <c r="P15" s="62"/>
      <c r="Q15" s="62"/>
      <c r="R15" s="62"/>
      <c r="S15" s="62"/>
      <c r="T15" s="62"/>
      <c r="U15" s="62"/>
      <c r="V15" s="62"/>
      <c r="W15" s="62"/>
      <c r="X15" s="125"/>
      <c r="Y15" s="126"/>
      <c r="Z15" s="406"/>
    </row>
    <row r="16" spans="1:26" s="124" customFormat="1" ht="153">
      <c r="B16" s="70" t="s">
        <v>34</v>
      </c>
      <c r="C16" s="71" t="s">
        <v>1380</v>
      </c>
      <c r="D16" s="45" t="s">
        <v>1366</v>
      </c>
      <c r="E16" s="589"/>
      <c r="F16" s="368" t="s">
        <v>1381</v>
      </c>
      <c r="G16" s="156"/>
      <c r="H16" s="101" t="s">
        <v>1282</v>
      </c>
      <c r="I16" s="101" t="s">
        <v>169</v>
      </c>
      <c r="J16" s="72">
        <v>57696</v>
      </c>
      <c r="K16" s="369" t="s">
        <v>1367</v>
      </c>
      <c r="L16" s="71" t="s">
        <v>6</v>
      </c>
      <c r="M16" s="71" t="s">
        <v>1368</v>
      </c>
      <c r="N16" s="376"/>
      <c r="O16" s="62"/>
      <c r="P16" s="62"/>
      <c r="Q16" s="62"/>
      <c r="R16" s="62"/>
      <c r="S16" s="62"/>
      <c r="T16" s="62"/>
      <c r="U16" s="62"/>
      <c r="V16" s="62"/>
      <c r="W16" s="62"/>
      <c r="X16" s="125"/>
      <c r="Y16" s="126"/>
      <c r="Z16" s="406"/>
    </row>
    <row r="17" spans="2:26" s="124" customFormat="1" ht="34">
      <c r="B17" s="102" t="s">
        <v>34</v>
      </c>
      <c r="C17" s="102" t="s">
        <v>338</v>
      </c>
      <c r="D17" s="45" t="s">
        <v>1121</v>
      </c>
      <c r="E17" s="46" t="s">
        <v>1089</v>
      </c>
      <c r="F17" s="128" t="s">
        <v>339</v>
      </c>
      <c r="G17" s="156">
        <v>15.875</v>
      </c>
      <c r="H17" s="101" t="s">
        <v>340</v>
      </c>
      <c r="I17" s="138" t="s">
        <v>341</v>
      </c>
      <c r="J17" s="129">
        <v>28000</v>
      </c>
      <c r="K17" s="102" t="s">
        <v>342</v>
      </c>
      <c r="L17" s="45" t="s">
        <v>343</v>
      </c>
      <c r="M17" s="45" t="s">
        <v>344</v>
      </c>
      <c r="N17" s="376">
        <v>7495</v>
      </c>
      <c r="O17" s="62">
        <v>4550</v>
      </c>
      <c r="P17" s="62"/>
      <c r="Q17" s="62">
        <f>1080+656</f>
        <v>1736</v>
      </c>
      <c r="R17" s="62"/>
      <c r="S17" s="62">
        <v>3900</v>
      </c>
      <c r="T17" s="62">
        <v>1000</v>
      </c>
      <c r="U17" s="62"/>
      <c r="V17" s="62">
        <v>2000</v>
      </c>
      <c r="W17" s="62"/>
      <c r="X17" s="125">
        <f t="shared" si="2"/>
        <v>20681</v>
      </c>
      <c r="Y17" s="126">
        <f t="shared" si="3"/>
        <v>-7319</v>
      </c>
      <c r="Z17" s="406"/>
    </row>
    <row r="18" spans="2:26" s="124" customFormat="1" ht="51">
      <c r="B18" s="70" t="s">
        <v>34</v>
      </c>
      <c r="C18" s="70" t="s">
        <v>1163</v>
      </c>
      <c r="D18" s="368" t="s">
        <v>1114</v>
      </c>
      <c r="E18" s="70" t="s">
        <v>1113</v>
      </c>
      <c r="F18" s="368" t="s">
        <v>1115</v>
      </c>
      <c r="G18" s="156">
        <v>15.805</v>
      </c>
      <c r="H18" s="101" t="s">
        <v>1085</v>
      </c>
      <c r="I18" s="101" t="s">
        <v>1086</v>
      </c>
      <c r="J18" s="72">
        <v>34442</v>
      </c>
      <c r="K18" s="369" t="s">
        <v>181</v>
      </c>
      <c r="L18" s="71" t="s">
        <v>5</v>
      </c>
      <c r="M18" s="71" t="s">
        <v>1111</v>
      </c>
      <c r="N18" s="376"/>
      <c r="O18" s="62">
        <v>1143</v>
      </c>
      <c r="P18" s="62"/>
      <c r="Q18" s="62">
        <v>88</v>
      </c>
      <c r="R18" s="62">
        <v>21860</v>
      </c>
      <c r="S18" s="62">
        <v>5550</v>
      </c>
      <c r="T18" s="62"/>
      <c r="U18" s="62"/>
      <c r="V18" s="62"/>
      <c r="W18" s="62"/>
      <c r="X18" s="125">
        <f t="shared" si="2"/>
        <v>28641</v>
      </c>
      <c r="Y18" s="126">
        <f t="shared" si="3"/>
        <v>-5801</v>
      </c>
      <c r="Z18" s="406"/>
    </row>
    <row r="19" spans="2:26" s="370" customFormat="1" ht="51">
      <c r="B19" s="70" t="s">
        <v>34</v>
      </c>
      <c r="C19" s="70" t="s">
        <v>1163</v>
      </c>
      <c r="D19" s="71" t="s">
        <v>479</v>
      </c>
      <c r="E19" s="73" t="s">
        <v>115</v>
      </c>
      <c r="F19" s="93" t="s">
        <v>1112</v>
      </c>
      <c r="G19" s="156">
        <v>15.805</v>
      </c>
      <c r="H19" s="101" t="s">
        <v>711</v>
      </c>
      <c r="I19" s="101" t="s">
        <v>710</v>
      </c>
      <c r="J19" s="72">
        <v>34567</v>
      </c>
      <c r="K19" s="70" t="s">
        <v>181</v>
      </c>
      <c r="L19" s="71" t="s">
        <v>5</v>
      </c>
      <c r="M19" s="71" t="s">
        <v>440</v>
      </c>
      <c r="N19" s="377"/>
      <c r="Z19" s="407"/>
    </row>
    <row r="20" spans="2:26" s="124" customFormat="1" ht="85">
      <c r="B20" s="70" t="s">
        <v>34</v>
      </c>
      <c r="C20" s="70" t="s">
        <v>1163</v>
      </c>
      <c r="D20" s="368" t="s">
        <v>1116</v>
      </c>
      <c r="E20" s="70" t="s">
        <v>1117</v>
      </c>
      <c r="F20" s="368" t="s">
        <v>1118</v>
      </c>
      <c r="G20" s="156">
        <v>15.805</v>
      </c>
      <c r="H20" s="101" t="s">
        <v>1085</v>
      </c>
      <c r="I20" s="101" t="s">
        <v>1086</v>
      </c>
      <c r="J20" s="72">
        <v>30715</v>
      </c>
      <c r="K20" s="369" t="s">
        <v>98</v>
      </c>
      <c r="L20" s="71" t="s">
        <v>5</v>
      </c>
      <c r="M20" s="71" t="s">
        <v>448</v>
      </c>
      <c r="N20" s="378">
        <v>13776</v>
      </c>
      <c r="O20" s="68"/>
      <c r="P20" s="68">
        <v>5225</v>
      </c>
      <c r="Q20" s="68">
        <f>200+400</f>
        <v>600</v>
      </c>
      <c r="R20" s="68"/>
      <c r="S20" s="68">
        <v>1050</v>
      </c>
      <c r="T20" s="68">
        <v>17376</v>
      </c>
      <c r="U20" s="68"/>
      <c r="V20" s="68"/>
      <c r="W20" s="68"/>
      <c r="X20" s="125">
        <f t="shared" si="2"/>
        <v>38027</v>
      </c>
      <c r="Y20" s="126">
        <f t="shared" si="3"/>
        <v>7312</v>
      </c>
      <c r="Z20" s="406"/>
    </row>
    <row r="21" spans="2:26" s="370" customFormat="1" ht="85">
      <c r="B21" s="70" t="s">
        <v>34</v>
      </c>
      <c r="C21" s="70" t="s">
        <v>1163</v>
      </c>
      <c r="D21" s="71" t="s">
        <v>902</v>
      </c>
      <c r="E21" s="73" t="s">
        <v>112</v>
      </c>
      <c r="F21" s="93" t="s">
        <v>439</v>
      </c>
      <c r="G21" s="156">
        <v>15.805</v>
      </c>
      <c r="H21" s="101" t="s">
        <v>711</v>
      </c>
      <c r="I21" s="138" t="s">
        <v>710</v>
      </c>
      <c r="J21" s="72">
        <v>28641</v>
      </c>
      <c r="K21" s="70" t="s">
        <v>94</v>
      </c>
      <c r="L21" s="71" t="s">
        <v>5</v>
      </c>
      <c r="M21" s="71" t="s">
        <v>448</v>
      </c>
      <c r="N21" s="377"/>
      <c r="Z21" s="407"/>
    </row>
    <row r="22" spans="2:26" s="370" customFormat="1" ht="71" customHeight="1">
      <c r="B22" s="102" t="s">
        <v>34</v>
      </c>
      <c r="C22" s="45" t="s">
        <v>1123</v>
      </c>
      <c r="D22" s="45" t="s">
        <v>1124</v>
      </c>
      <c r="E22" s="128" t="s">
        <v>1125</v>
      </c>
      <c r="F22" s="46" t="s">
        <v>1126</v>
      </c>
      <c r="G22" s="156"/>
      <c r="H22" s="101" t="s">
        <v>1127</v>
      </c>
      <c r="I22" s="101" t="s">
        <v>341</v>
      </c>
      <c r="J22" s="129">
        <v>50000</v>
      </c>
      <c r="K22" s="45" t="s">
        <v>1128</v>
      </c>
      <c r="L22" s="45" t="s">
        <v>6</v>
      </c>
      <c r="M22" s="45" t="s">
        <v>1129</v>
      </c>
      <c r="N22" s="377"/>
      <c r="Z22" s="407"/>
    </row>
    <row r="23" spans="2:26" s="124" customFormat="1" ht="71" customHeight="1">
      <c r="B23" s="102" t="s">
        <v>34</v>
      </c>
      <c r="C23" s="70" t="s">
        <v>1163</v>
      </c>
      <c r="D23" s="45" t="s">
        <v>452</v>
      </c>
      <c r="E23" s="128" t="s">
        <v>116</v>
      </c>
      <c r="F23" s="46" t="s">
        <v>1130</v>
      </c>
      <c r="G23" s="156">
        <v>15.805</v>
      </c>
      <c r="H23" s="101" t="s">
        <v>711</v>
      </c>
      <c r="I23" s="101" t="s">
        <v>710</v>
      </c>
      <c r="J23" s="129">
        <v>19584</v>
      </c>
      <c r="K23" s="102" t="s">
        <v>181</v>
      </c>
      <c r="L23" s="45" t="s">
        <v>5</v>
      </c>
      <c r="M23" s="45" t="s">
        <v>453</v>
      </c>
      <c r="N23" s="379">
        <v>8694</v>
      </c>
      <c r="O23" s="68"/>
      <c r="P23" s="68"/>
      <c r="Q23" s="68">
        <f>1896</f>
        <v>1896</v>
      </c>
      <c r="R23" s="68">
        <v>2634</v>
      </c>
      <c r="S23" s="68">
        <v>6000</v>
      </c>
      <c r="T23" s="68">
        <v>360</v>
      </c>
      <c r="U23" s="68"/>
      <c r="V23" s="68"/>
      <c r="W23" s="68"/>
      <c r="X23" s="125">
        <f t="shared" si="2"/>
        <v>19584</v>
      </c>
      <c r="Y23" s="126">
        <f t="shared" si="3"/>
        <v>0</v>
      </c>
      <c r="Z23" s="406"/>
    </row>
    <row r="24" spans="2:26" s="124" customFormat="1" ht="51">
      <c r="B24" s="70" t="s">
        <v>34</v>
      </c>
      <c r="C24" s="70" t="s">
        <v>1163</v>
      </c>
      <c r="D24" s="368" t="s">
        <v>1131</v>
      </c>
      <c r="E24" s="70" t="s">
        <v>1132</v>
      </c>
      <c r="F24" s="368" t="s">
        <v>1133</v>
      </c>
      <c r="G24" s="156">
        <v>15.805</v>
      </c>
      <c r="H24" s="101" t="s">
        <v>1085</v>
      </c>
      <c r="I24" s="101" t="s">
        <v>1086</v>
      </c>
      <c r="J24" s="72">
        <v>26337</v>
      </c>
      <c r="K24" s="369" t="s">
        <v>181</v>
      </c>
      <c r="L24" s="71" t="s">
        <v>5</v>
      </c>
      <c r="M24" s="71" t="s">
        <v>1134</v>
      </c>
      <c r="N24" s="379"/>
      <c r="O24" s="68"/>
      <c r="P24" s="68"/>
      <c r="Q24" s="68"/>
      <c r="R24" s="68"/>
      <c r="S24" s="68"/>
      <c r="T24" s="68"/>
      <c r="U24" s="68"/>
      <c r="V24" s="68"/>
      <c r="W24" s="68"/>
      <c r="X24" s="125"/>
      <c r="Y24" s="126"/>
      <c r="Z24" s="406"/>
    </row>
    <row r="25" spans="2:26" s="124" customFormat="1" ht="85">
      <c r="B25" s="70" t="s">
        <v>34</v>
      </c>
      <c r="C25" s="70" t="s">
        <v>1163</v>
      </c>
      <c r="D25" s="368" t="s">
        <v>1135</v>
      </c>
      <c r="E25" s="70" t="s">
        <v>1136</v>
      </c>
      <c r="F25" s="368" t="s">
        <v>1137</v>
      </c>
      <c r="G25" s="156">
        <v>15.805</v>
      </c>
      <c r="H25" s="101" t="s">
        <v>1085</v>
      </c>
      <c r="I25" s="101" t="s">
        <v>1086</v>
      </c>
      <c r="J25" s="72">
        <v>25410</v>
      </c>
      <c r="K25" s="369" t="s">
        <v>183</v>
      </c>
      <c r="L25" s="71" t="s">
        <v>5</v>
      </c>
      <c r="M25" s="71" t="s">
        <v>1138</v>
      </c>
      <c r="N25" s="379"/>
      <c r="O25" s="68"/>
      <c r="P25" s="68"/>
      <c r="Q25" s="68"/>
      <c r="R25" s="68"/>
      <c r="S25" s="68"/>
      <c r="T25" s="68"/>
      <c r="U25" s="68"/>
      <c r="V25" s="68"/>
      <c r="W25" s="68"/>
      <c r="X25" s="125"/>
      <c r="Y25" s="126"/>
      <c r="Z25" s="406"/>
    </row>
    <row r="26" spans="2:26" s="124" customFormat="1" ht="119">
      <c r="B26" s="70" t="s">
        <v>34</v>
      </c>
      <c r="C26" s="70" t="s">
        <v>1163</v>
      </c>
      <c r="D26" s="368" t="s">
        <v>1139</v>
      </c>
      <c r="E26" s="70" t="s">
        <v>1140</v>
      </c>
      <c r="F26" s="368" t="s">
        <v>1141</v>
      </c>
      <c r="G26" s="156">
        <v>15.805</v>
      </c>
      <c r="H26" s="101" t="s">
        <v>1085</v>
      </c>
      <c r="I26" s="101" t="s">
        <v>1086</v>
      </c>
      <c r="J26" s="72">
        <v>9091</v>
      </c>
      <c r="K26" s="369" t="s">
        <v>184</v>
      </c>
      <c r="L26" s="71" t="s">
        <v>5</v>
      </c>
      <c r="M26" s="71" t="s">
        <v>1142</v>
      </c>
      <c r="N26" s="379"/>
      <c r="O26" s="68"/>
      <c r="P26" s="68"/>
      <c r="Q26" s="68"/>
      <c r="R26" s="68"/>
      <c r="S26" s="68"/>
      <c r="T26" s="68"/>
      <c r="U26" s="68"/>
      <c r="V26" s="68"/>
      <c r="W26" s="68"/>
      <c r="X26" s="125"/>
      <c r="Y26" s="126"/>
      <c r="Z26" s="406"/>
    </row>
    <row r="27" spans="2:26" s="229" customFormat="1" ht="96" customHeight="1">
      <c r="B27" s="70" t="s">
        <v>34</v>
      </c>
      <c r="C27" s="70" t="s">
        <v>1163</v>
      </c>
      <c r="D27" s="71" t="s">
        <v>458</v>
      </c>
      <c r="E27" s="73" t="s">
        <v>118</v>
      </c>
      <c r="F27" s="93" t="s">
        <v>460</v>
      </c>
      <c r="G27" s="156">
        <v>15.805</v>
      </c>
      <c r="H27" s="101" t="s">
        <v>711</v>
      </c>
      <c r="I27" s="138" t="s">
        <v>710</v>
      </c>
      <c r="J27" s="72">
        <v>7942</v>
      </c>
      <c r="K27" s="70" t="s">
        <v>184</v>
      </c>
      <c r="L27" s="71" t="s">
        <v>5</v>
      </c>
      <c r="M27" s="71" t="s">
        <v>461</v>
      </c>
      <c r="N27" s="379">
        <f>4252+3224+4337+3288+4424+3354</f>
        <v>22879</v>
      </c>
      <c r="O27" s="68"/>
      <c r="P27" s="68">
        <f>(15243*3)</f>
        <v>45729</v>
      </c>
      <c r="Q27" s="68">
        <f>1474+1481+1487</f>
        <v>4442</v>
      </c>
      <c r="R27" s="68"/>
      <c r="S27" s="68"/>
      <c r="T27" s="68">
        <v>500</v>
      </c>
      <c r="U27" s="68"/>
      <c r="V27" s="68">
        <f>4644*3</f>
        <v>13932</v>
      </c>
      <c r="W27" s="68">
        <f>12950+13035+13122</f>
        <v>39107</v>
      </c>
      <c r="X27" s="234">
        <f t="shared" si="2"/>
        <v>126589</v>
      </c>
      <c r="Y27" s="235">
        <f t="shared" si="3"/>
        <v>118647</v>
      </c>
      <c r="Z27" s="408"/>
    </row>
    <row r="28" spans="2:26" s="124" customFormat="1" ht="68">
      <c r="B28" s="70" t="s">
        <v>34</v>
      </c>
      <c r="C28" s="70" t="s">
        <v>1163</v>
      </c>
      <c r="D28" s="368" t="s">
        <v>1143</v>
      </c>
      <c r="E28" s="70" t="s">
        <v>1144</v>
      </c>
      <c r="F28" s="368" t="s">
        <v>1145</v>
      </c>
      <c r="G28" s="156">
        <v>15.805</v>
      </c>
      <c r="H28" s="101" t="s">
        <v>1085</v>
      </c>
      <c r="I28" s="101" t="s">
        <v>1086</v>
      </c>
      <c r="J28" s="72">
        <v>32871</v>
      </c>
      <c r="K28" s="369" t="s">
        <v>98</v>
      </c>
      <c r="L28" s="71" t="s">
        <v>5</v>
      </c>
      <c r="M28" s="45" t="s">
        <v>447</v>
      </c>
      <c r="N28" s="379">
        <v>12089</v>
      </c>
      <c r="O28" s="68"/>
      <c r="P28" s="68">
        <v>2123</v>
      </c>
      <c r="Q28" s="68">
        <f>175+162</f>
        <v>337</v>
      </c>
      <c r="R28" s="68">
        <v>10362</v>
      </c>
      <c r="S28" s="68"/>
      <c r="T28" s="68">
        <v>200</v>
      </c>
      <c r="U28" s="68"/>
      <c r="V28" s="68"/>
      <c r="W28" s="68"/>
      <c r="X28" s="125">
        <f t="shared" si="2"/>
        <v>25111</v>
      </c>
      <c r="Y28" s="126">
        <f t="shared" si="3"/>
        <v>-7760</v>
      </c>
      <c r="Z28" s="406"/>
    </row>
    <row r="29" spans="2:26" s="124" customFormat="1" ht="68">
      <c r="B29" s="102" t="s">
        <v>34</v>
      </c>
      <c r="C29" s="70" t="s">
        <v>1163</v>
      </c>
      <c r="D29" s="45" t="s">
        <v>446</v>
      </c>
      <c r="E29" s="128" t="s">
        <v>111</v>
      </c>
      <c r="F29" s="46" t="s">
        <v>1146</v>
      </c>
      <c r="G29" s="156">
        <v>15.805</v>
      </c>
      <c r="H29" s="101" t="s">
        <v>711</v>
      </c>
      <c r="I29" s="101" t="s">
        <v>710</v>
      </c>
      <c r="J29" s="129">
        <v>24310</v>
      </c>
      <c r="K29" s="102" t="s">
        <v>94</v>
      </c>
      <c r="L29" s="45" t="s">
        <v>5</v>
      </c>
      <c r="M29" s="45" t="s">
        <v>447</v>
      </c>
      <c r="N29" s="379"/>
      <c r="O29" s="68"/>
      <c r="P29" s="68"/>
      <c r="Q29" s="68"/>
      <c r="R29" s="68"/>
      <c r="S29" s="68"/>
      <c r="T29" s="68"/>
      <c r="U29" s="68"/>
      <c r="V29" s="68"/>
      <c r="W29" s="68"/>
      <c r="X29" s="125"/>
      <c r="Y29" s="126"/>
      <c r="Z29" s="406"/>
    </row>
    <row r="30" spans="2:26" s="124" customFormat="1" ht="55" customHeight="1">
      <c r="B30" s="102" t="s">
        <v>34</v>
      </c>
      <c r="C30" s="45" t="s">
        <v>1164</v>
      </c>
      <c r="D30" s="45" t="s">
        <v>416</v>
      </c>
      <c r="E30" s="128" t="s">
        <v>174</v>
      </c>
      <c r="F30" s="46" t="s">
        <v>413</v>
      </c>
      <c r="G30" s="156"/>
      <c r="H30" s="101" t="s">
        <v>35</v>
      </c>
      <c r="I30" s="138" t="s">
        <v>36</v>
      </c>
      <c r="J30" s="129">
        <v>226294</v>
      </c>
      <c r="K30" s="45" t="s">
        <v>94</v>
      </c>
      <c r="L30" s="45" t="s">
        <v>6</v>
      </c>
      <c r="M30" s="45" t="s">
        <v>442</v>
      </c>
      <c r="N30" s="379"/>
      <c r="O30" s="68">
        <v>95000</v>
      </c>
      <c r="P30" s="68"/>
      <c r="Q30" s="68"/>
      <c r="R30" s="68">
        <v>6000</v>
      </c>
      <c r="S30" s="68"/>
      <c r="T30" s="68">
        <v>20000</v>
      </c>
      <c r="U30" s="68"/>
      <c r="V30" s="68"/>
      <c r="W30" s="68"/>
      <c r="X30" s="125">
        <f t="shared" ref="X30" si="4">SUM(N30:W30)</f>
        <v>121000</v>
      </c>
      <c r="Y30" s="126">
        <f t="shared" ref="Y30" si="5">X30-J30</f>
        <v>-105294</v>
      </c>
      <c r="Z30" s="406"/>
    </row>
    <row r="31" spans="2:26" s="124" customFormat="1" ht="85">
      <c r="B31" s="102" t="s">
        <v>34</v>
      </c>
      <c r="C31" s="70" t="s">
        <v>1163</v>
      </c>
      <c r="D31" s="368" t="s">
        <v>1091</v>
      </c>
      <c r="E31" s="128" t="s">
        <v>905</v>
      </c>
      <c r="F31" s="368" t="s">
        <v>1092</v>
      </c>
      <c r="G31" s="156">
        <v>15.805</v>
      </c>
      <c r="H31" s="101" t="s">
        <v>1085</v>
      </c>
      <c r="I31" s="101" t="s">
        <v>1086</v>
      </c>
      <c r="J31" s="72">
        <v>46033</v>
      </c>
      <c r="K31" s="369" t="s">
        <v>1093</v>
      </c>
      <c r="L31" s="71" t="s">
        <v>5</v>
      </c>
      <c r="M31" s="71" t="s">
        <v>1168</v>
      </c>
      <c r="N31" s="95"/>
      <c r="O31" s="95"/>
      <c r="P31" s="95"/>
      <c r="Q31" s="95"/>
      <c r="R31" s="95"/>
      <c r="S31" s="95"/>
      <c r="T31" s="95"/>
      <c r="U31" s="95"/>
      <c r="V31" s="95"/>
      <c r="W31" s="95"/>
      <c r="X31" s="125"/>
      <c r="Y31" s="126"/>
      <c r="Z31" s="406"/>
    </row>
    <row r="32" spans="2:26" s="124" customFormat="1" ht="111" customHeight="1">
      <c r="B32" s="102" t="s">
        <v>34</v>
      </c>
      <c r="C32" s="45" t="s">
        <v>901</v>
      </c>
      <c r="D32" s="45" t="s">
        <v>1122</v>
      </c>
      <c r="E32" s="46" t="s">
        <v>536</v>
      </c>
      <c r="F32" s="128" t="s">
        <v>496</v>
      </c>
      <c r="G32" s="156"/>
      <c r="H32" s="101" t="s">
        <v>246</v>
      </c>
      <c r="I32" s="138" t="s">
        <v>498</v>
      </c>
      <c r="J32" s="129">
        <v>531300</v>
      </c>
      <c r="K32" s="102" t="s">
        <v>94</v>
      </c>
      <c r="L32" s="45" t="s">
        <v>6</v>
      </c>
      <c r="M32" s="45" t="s">
        <v>497</v>
      </c>
      <c r="N32" s="95"/>
      <c r="O32" s="95"/>
      <c r="P32" s="95"/>
      <c r="Q32" s="95"/>
      <c r="R32" s="95"/>
      <c r="S32" s="95"/>
      <c r="T32" s="95"/>
      <c r="U32" s="95"/>
      <c r="V32" s="95"/>
      <c r="W32" s="95"/>
      <c r="X32" s="125"/>
      <c r="Y32" s="126"/>
      <c r="Z32" s="406"/>
    </row>
    <row r="33" spans="2:26" s="124" customFormat="1" ht="85">
      <c r="B33" s="102" t="s">
        <v>34</v>
      </c>
      <c r="C33" s="70" t="s">
        <v>1163</v>
      </c>
      <c r="D33" s="45" t="s">
        <v>1147</v>
      </c>
      <c r="E33" s="597"/>
      <c r="F33" s="46" t="s">
        <v>1149</v>
      </c>
      <c r="G33" s="156"/>
      <c r="H33" s="101" t="s">
        <v>1150</v>
      </c>
      <c r="I33" s="101" t="s">
        <v>1151</v>
      </c>
      <c r="J33" s="129">
        <v>26000</v>
      </c>
      <c r="K33" s="45" t="s">
        <v>1152</v>
      </c>
      <c r="L33" s="45" t="s">
        <v>5</v>
      </c>
      <c r="M33" s="45" t="s">
        <v>1153</v>
      </c>
      <c r="N33" s="95"/>
      <c r="O33" s="95"/>
      <c r="P33" s="95"/>
      <c r="Q33" s="95"/>
      <c r="R33" s="95"/>
      <c r="S33" s="95"/>
      <c r="T33" s="95"/>
      <c r="U33" s="95"/>
      <c r="V33" s="95"/>
      <c r="W33" s="95"/>
      <c r="X33" s="125"/>
      <c r="Y33" s="126"/>
      <c r="Z33" s="406"/>
    </row>
    <row r="34" spans="2:26" s="124" customFormat="1" ht="46" thickBot="1">
      <c r="B34" s="41" t="s">
        <v>34</v>
      </c>
      <c r="C34" s="41" t="s">
        <v>11</v>
      </c>
      <c r="D34" s="230" t="s">
        <v>1154</v>
      </c>
      <c r="E34" s="231" t="s">
        <v>709</v>
      </c>
      <c r="F34" s="409">
        <v>1451595</v>
      </c>
      <c r="G34" s="232"/>
      <c r="H34" s="233">
        <v>42947</v>
      </c>
      <c r="I34" s="233">
        <v>43676</v>
      </c>
      <c r="J34" s="375">
        <v>59875</v>
      </c>
      <c r="K34" s="102"/>
      <c r="L34" s="45" t="s">
        <v>5</v>
      </c>
      <c r="M34" s="45"/>
      <c r="N34" s="95"/>
      <c r="O34" s="95"/>
      <c r="P34" s="95"/>
      <c r="Q34" s="95"/>
      <c r="R34" s="95"/>
      <c r="S34" s="95"/>
      <c r="T34" s="95"/>
      <c r="U34" s="95"/>
      <c r="V34" s="95"/>
      <c r="W34" s="95"/>
      <c r="X34" s="125"/>
      <c r="Y34" s="126"/>
      <c r="Z34" s="406"/>
    </row>
    <row r="35" spans="2:26" ht="26" thickTop="1">
      <c r="B35" s="815"/>
      <c r="C35" s="815"/>
      <c r="D35" s="815"/>
      <c r="E35" s="815"/>
      <c r="F35" s="815"/>
      <c r="G35" s="815"/>
      <c r="H35" s="815"/>
      <c r="I35" s="815"/>
      <c r="J35" s="445">
        <f>SUM(J3:J34)</f>
        <v>1823077.26</v>
      </c>
      <c r="K35" s="32"/>
      <c r="L35" s="32"/>
      <c r="M35" s="32"/>
      <c r="N35" s="30"/>
      <c r="O35" s="30"/>
      <c r="P35" s="30"/>
      <c r="Q35" s="30"/>
    </row>
    <row r="36" spans="2:26" ht="25">
      <c r="B36" s="829"/>
      <c r="C36" s="829"/>
      <c r="D36" s="829"/>
      <c r="J36" s="388"/>
    </row>
    <row r="37" spans="2:26">
      <c r="J37" s="389"/>
    </row>
  </sheetData>
  <sortState xmlns:xlrd2="http://schemas.microsoft.com/office/spreadsheetml/2017/richdata2" ref="B3:M34">
    <sortCondition ref="D3:D34"/>
  </sortState>
  <mergeCells count="2">
    <mergeCell ref="B35:I35"/>
    <mergeCell ref="B36:D36"/>
  </mergeCells>
  <pageMargins left="0.75" right="0.75" top="1" bottom="1" header="0.5" footer="0.5"/>
  <pageSetup paperSize="9" scale="50" fitToHeight="0" orientation="landscape" horizontalDpi="4294967292" verticalDpi="4294967292"/>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12"/>
  <sheetViews>
    <sheetView workbookViewId="0">
      <selection activeCell="L3" sqref="L3"/>
    </sheetView>
  </sheetViews>
  <sheetFormatPr baseColWidth="10" defaultColWidth="11.5" defaultRowHeight="15"/>
  <cols>
    <col min="1" max="1" width="3.6640625" customWidth="1"/>
    <col min="4" max="4" width="26" customWidth="1"/>
    <col min="5" max="5" width="14.83203125" bestFit="1" customWidth="1"/>
    <col min="6" max="6" width="14.83203125" style="6" customWidth="1"/>
    <col min="7" max="7" width="8.5" style="157" bestFit="1" customWidth="1"/>
    <col min="8" max="9" width="9.33203125" style="144" bestFit="1" customWidth="1"/>
    <col min="10" max="10" width="14.5" bestFit="1" customWidth="1"/>
    <col min="11" max="11" width="19.6640625" style="6" customWidth="1"/>
    <col min="12" max="12" width="8.1640625" bestFit="1" customWidth="1"/>
    <col min="13" max="13" width="56" customWidth="1"/>
    <col min="14" max="17" width="0" hidden="1" customWidth="1"/>
    <col min="18" max="18" width="11.6640625" hidden="1" customWidth="1"/>
    <col min="19" max="20" width="0" hidden="1" customWidth="1"/>
    <col min="21" max="21" width="11.6640625" hidden="1" customWidth="1"/>
    <col min="22" max="22" width="12.6640625" hidden="1" customWidth="1"/>
    <col min="23" max="23" width="0" hidden="1" customWidth="1"/>
    <col min="24" max="24" width="11.33203125" hidden="1" customWidth="1"/>
  </cols>
  <sheetData>
    <row r="1" spans="1:25" s="306" customFormat="1" ht="111" thickBot="1">
      <c r="A1" s="307"/>
      <c r="B1" s="295" t="s">
        <v>7</v>
      </c>
      <c r="C1" s="295" t="s">
        <v>12</v>
      </c>
      <c r="D1" s="295" t="s">
        <v>3</v>
      </c>
      <c r="E1" s="281" t="s">
        <v>1</v>
      </c>
      <c r="F1" s="281" t="s">
        <v>287</v>
      </c>
      <c r="G1" s="296" t="s">
        <v>64</v>
      </c>
      <c r="H1" s="297" t="s">
        <v>601</v>
      </c>
      <c r="I1" s="297" t="s">
        <v>602</v>
      </c>
      <c r="J1" s="302" t="s">
        <v>187</v>
      </c>
      <c r="K1" s="299" t="s">
        <v>603</v>
      </c>
      <c r="L1" s="300" t="s">
        <v>2</v>
      </c>
      <c r="M1" s="295" t="s">
        <v>604</v>
      </c>
      <c r="N1" s="303" t="s">
        <v>188</v>
      </c>
      <c r="O1" s="304" t="s">
        <v>189</v>
      </c>
      <c r="P1" s="304" t="s">
        <v>190</v>
      </c>
      <c r="Q1" s="304" t="s">
        <v>191</v>
      </c>
      <c r="R1" s="304" t="s">
        <v>192</v>
      </c>
      <c r="S1" s="304" t="s">
        <v>193</v>
      </c>
      <c r="T1" s="304" t="s">
        <v>194</v>
      </c>
      <c r="U1" s="304" t="s">
        <v>195</v>
      </c>
      <c r="V1" s="304" t="s">
        <v>196</v>
      </c>
      <c r="W1" s="303" t="s">
        <v>197</v>
      </c>
      <c r="X1" s="305"/>
      <c r="Y1" s="305"/>
    </row>
    <row r="2" spans="1:25" s="100" customFormat="1" ht="17" thickTop="1">
      <c r="A2" s="97"/>
      <c r="B2" s="601"/>
      <c r="C2" s="601"/>
      <c r="D2" s="602"/>
      <c r="E2" s="601"/>
      <c r="F2" s="602"/>
      <c r="G2" s="603"/>
      <c r="H2" s="604"/>
      <c r="I2" s="605"/>
      <c r="J2" s="606"/>
      <c r="K2" s="602"/>
      <c r="L2" s="602"/>
      <c r="M2" s="59"/>
      <c r="N2" s="68"/>
      <c r="O2" s="68"/>
      <c r="P2" s="68"/>
      <c r="Q2" s="68"/>
      <c r="R2" s="68">
        <v>21150</v>
      </c>
      <c r="S2" s="68"/>
      <c r="T2" s="68"/>
      <c r="U2" s="68">
        <v>88850</v>
      </c>
      <c r="V2" s="68">
        <v>140000</v>
      </c>
      <c r="W2" s="68"/>
      <c r="X2" s="99"/>
      <c r="Y2" s="99"/>
    </row>
    <row r="3" spans="1:25" s="638" customFormat="1" ht="34">
      <c r="A3" s="633"/>
      <c r="B3" s="663" t="s">
        <v>1437</v>
      </c>
      <c r="C3" s="663"/>
      <c r="D3" s="664" t="s">
        <v>1435</v>
      </c>
      <c r="E3" s="667"/>
      <c r="F3" s="664"/>
      <c r="G3" s="643"/>
      <c r="H3" s="644"/>
      <c r="I3" s="645"/>
      <c r="J3" s="665">
        <v>140000</v>
      </c>
      <c r="K3" s="664" t="s">
        <v>1436</v>
      </c>
      <c r="L3" s="664" t="s">
        <v>5</v>
      </c>
      <c r="M3" s="641"/>
      <c r="N3" s="621"/>
      <c r="O3" s="621"/>
      <c r="P3" s="621"/>
      <c r="Q3" s="621"/>
      <c r="R3" s="621"/>
      <c r="S3" s="621"/>
      <c r="T3" s="621"/>
      <c r="U3" s="621"/>
      <c r="V3" s="621"/>
      <c r="W3" s="621"/>
      <c r="X3" s="637"/>
      <c r="Y3" s="637"/>
    </row>
    <row r="4" spans="1:25" s="638" customFormat="1" ht="184" customHeight="1">
      <c r="A4" s="633"/>
      <c r="B4" s="663" t="s">
        <v>1313</v>
      </c>
      <c r="C4" s="663" t="s">
        <v>1426</v>
      </c>
      <c r="D4" s="636" t="s">
        <v>1427</v>
      </c>
      <c r="E4" s="667"/>
      <c r="F4" s="761" t="s">
        <v>1428</v>
      </c>
      <c r="G4" s="643"/>
      <c r="H4" s="644"/>
      <c r="I4" s="645"/>
      <c r="J4" s="665"/>
      <c r="K4" s="664" t="s">
        <v>1429</v>
      </c>
      <c r="L4" s="664"/>
      <c r="M4" s="636" t="s">
        <v>1425</v>
      </c>
      <c r="N4" s="621"/>
      <c r="O4" s="621"/>
      <c r="P4" s="621"/>
      <c r="Q4" s="621"/>
      <c r="R4" s="621"/>
      <c r="S4" s="621"/>
      <c r="T4" s="621"/>
      <c r="U4" s="621"/>
      <c r="V4" s="621"/>
      <c r="W4" s="621"/>
      <c r="X4" s="637"/>
      <c r="Y4" s="637"/>
    </row>
    <row r="5" spans="1:25" s="638" customFormat="1" ht="68">
      <c r="A5" s="633"/>
      <c r="B5" s="616" t="s">
        <v>1313</v>
      </c>
      <c r="C5" s="615" t="s">
        <v>1410</v>
      </c>
      <c r="D5" s="615" t="s">
        <v>1412</v>
      </c>
      <c r="E5" s="596"/>
      <c r="F5" s="615"/>
      <c r="G5" s="617"/>
      <c r="H5" s="634"/>
      <c r="I5" s="174"/>
      <c r="J5" s="635"/>
      <c r="K5" s="615" t="s">
        <v>659</v>
      </c>
      <c r="L5" s="615"/>
      <c r="M5" s="636" t="s">
        <v>1411</v>
      </c>
      <c r="N5" s="621"/>
      <c r="O5" s="621"/>
      <c r="P5" s="621"/>
      <c r="Q5" s="621"/>
      <c r="R5" s="621"/>
      <c r="S5" s="621"/>
      <c r="T5" s="621"/>
      <c r="U5" s="621"/>
      <c r="V5" s="621"/>
      <c r="W5" s="621"/>
      <c r="X5" s="637"/>
      <c r="Y5" s="637"/>
    </row>
    <row r="6" spans="1:25" s="100" customFormat="1" ht="68">
      <c r="A6" s="97"/>
      <c r="B6" s="66" t="s">
        <v>54</v>
      </c>
      <c r="C6" s="66" t="s">
        <v>11</v>
      </c>
      <c r="D6" s="600" t="s">
        <v>231</v>
      </c>
      <c r="E6" s="66" t="s">
        <v>232</v>
      </c>
      <c r="F6" s="612">
        <v>1659182</v>
      </c>
      <c r="G6" s="162">
        <v>47.07</v>
      </c>
      <c r="H6" s="166" t="s">
        <v>44</v>
      </c>
      <c r="I6" s="178" t="s">
        <v>233</v>
      </c>
      <c r="J6" s="438">
        <v>250000</v>
      </c>
      <c r="K6" s="600" t="s">
        <v>56</v>
      </c>
      <c r="L6" s="600" t="s">
        <v>6</v>
      </c>
      <c r="M6" s="59" t="s">
        <v>507</v>
      </c>
      <c r="N6" s="68"/>
      <c r="O6" s="68"/>
      <c r="P6" s="68"/>
      <c r="Q6" s="68"/>
      <c r="R6" s="68">
        <v>21150</v>
      </c>
      <c r="S6" s="68"/>
      <c r="T6" s="68"/>
      <c r="U6" s="68">
        <v>88850</v>
      </c>
      <c r="V6" s="68">
        <v>140000</v>
      </c>
      <c r="W6" s="68"/>
      <c r="X6" s="99"/>
      <c r="Y6" s="99"/>
    </row>
    <row r="7" spans="1:25" s="638" customFormat="1" ht="65" customHeight="1">
      <c r="A7" s="633"/>
      <c r="B7" s="663" t="s">
        <v>1419</v>
      </c>
      <c r="C7" s="663" t="s">
        <v>18</v>
      </c>
      <c r="D7" s="664" t="s">
        <v>1420</v>
      </c>
      <c r="E7" s="667"/>
      <c r="F7" s="664">
        <v>12804504</v>
      </c>
      <c r="G7" s="643">
        <v>15.875</v>
      </c>
      <c r="H7" s="644" t="s">
        <v>1423</v>
      </c>
      <c r="I7" s="645" t="s">
        <v>1424</v>
      </c>
      <c r="J7" s="665">
        <v>127255</v>
      </c>
      <c r="K7" s="664" t="s">
        <v>1422</v>
      </c>
      <c r="L7" s="664" t="s">
        <v>5</v>
      </c>
      <c r="M7" s="641" t="s">
        <v>1421</v>
      </c>
      <c r="N7" s="666"/>
      <c r="O7" s="666"/>
      <c r="P7" s="666"/>
      <c r="Q7" s="666"/>
      <c r="R7" s="666"/>
      <c r="S7" s="666"/>
      <c r="T7" s="666"/>
      <c r="U7" s="666"/>
      <c r="V7" s="666"/>
      <c r="W7" s="666"/>
      <c r="X7" s="637"/>
      <c r="Y7" s="637"/>
    </row>
    <row r="8" spans="1:25" s="100" customFormat="1" ht="232" customHeight="1">
      <c r="A8" s="97"/>
      <c r="B8" s="102" t="s">
        <v>1400</v>
      </c>
      <c r="C8" s="102" t="s">
        <v>1072</v>
      </c>
      <c r="D8" s="45" t="s">
        <v>1404</v>
      </c>
      <c r="E8" s="609"/>
      <c r="F8" s="45" t="s">
        <v>1401</v>
      </c>
      <c r="G8" s="156">
        <v>15.875</v>
      </c>
      <c r="H8" s="101" t="s">
        <v>1402</v>
      </c>
      <c r="I8" s="138" t="s">
        <v>1151</v>
      </c>
      <c r="J8" s="129">
        <v>45079</v>
      </c>
      <c r="K8" s="45" t="s">
        <v>1405</v>
      </c>
      <c r="L8" s="45" t="s">
        <v>6</v>
      </c>
      <c r="M8" s="71" t="s">
        <v>1403</v>
      </c>
      <c r="N8" s="95"/>
      <c r="O8" s="95"/>
      <c r="P8" s="95"/>
      <c r="Q8" s="95"/>
      <c r="R8" s="95"/>
      <c r="S8" s="95"/>
      <c r="T8" s="95"/>
      <c r="U8" s="95"/>
      <c r="V8" s="95"/>
      <c r="W8" s="95"/>
      <c r="X8" s="99"/>
      <c r="Y8" s="99"/>
    </row>
    <row r="9" spans="1:25" s="100" customFormat="1" ht="16">
      <c r="A9" s="97"/>
      <c r="B9" s="66"/>
      <c r="C9" s="66"/>
      <c r="D9" s="599"/>
      <c r="E9" s="66"/>
      <c r="F9" s="612"/>
      <c r="G9" s="162"/>
      <c r="H9" s="166"/>
      <c r="I9" s="178"/>
      <c r="J9" s="438"/>
      <c r="K9" s="600"/>
      <c r="L9" s="599"/>
      <c r="M9" s="59"/>
      <c r="N9" s="95"/>
      <c r="O9" s="95"/>
      <c r="P9" s="95"/>
      <c r="Q9" s="95"/>
      <c r="R9" s="95"/>
      <c r="S9" s="95"/>
      <c r="T9" s="95"/>
      <c r="U9" s="95"/>
      <c r="V9" s="95"/>
      <c r="W9" s="95"/>
      <c r="X9" s="99"/>
      <c r="Y9" s="99"/>
    </row>
    <row r="10" spans="1:25" s="100" customFormat="1" ht="17" thickBot="1">
      <c r="A10" s="97"/>
      <c r="B10" s="607"/>
      <c r="C10" s="607"/>
      <c r="D10" s="202"/>
      <c r="E10" s="607"/>
      <c r="F10" s="202"/>
      <c r="G10" s="181"/>
      <c r="H10" s="179"/>
      <c r="I10" s="180"/>
      <c r="J10" s="608"/>
      <c r="K10" s="202"/>
      <c r="L10" s="202"/>
      <c r="M10" s="64"/>
      <c r="N10" s="95"/>
      <c r="O10" s="95"/>
      <c r="P10" s="95"/>
      <c r="Q10" s="95"/>
      <c r="R10" s="95"/>
      <c r="S10" s="95"/>
      <c r="T10" s="95"/>
      <c r="U10" s="95"/>
      <c r="V10" s="95"/>
      <c r="W10" s="95"/>
      <c r="X10" s="99"/>
      <c r="Y10" s="99"/>
    </row>
    <row r="11" spans="1:25" ht="25" customHeight="1" thickTop="1">
      <c r="B11" s="815"/>
      <c r="C11" s="815"/>
      <c r="D11" s="815"/>
      <c r="E11" s="815"/>
      <c r="F11" s="815"/>
      <c r="G11" s="815"/>
      <c r="H11" s="815"/>
      <c r="I11" s="815"/>
      <c r="J11" s="443">
        <f>SUM(J2)</f>
        <v>0</v>
      </c>
      <c r="K11" s="32"/>
      <c r="L11" s="32"/>
      <c r="M11" s="32"/>
      <c r="N11" s="30"/>
      <c r="O11" s="30"/>
      <c r="P11" s="30"/>
      <c r="Q11" s="30"/>
    </row>
    <row r="12" spans="1:25" ht="25">
      <c r="B12" s="811" t="s">
        <v>976</v>
      </c>
      <c r="C12" s="811"/>
      <c r="D12" s="811"/>
    </row>
  </sheetData>
  <mergeCells count="2">
    <mergeCell ref="B11:I11"/>
    <mergeCell ref="B12:D12"/>
  </mergeCells>
  <pageMargins left="0.75" right="0.75" top="1" bottom="1" header="0.5" footer="0.5"/>
  <pageSetup paperSize="9" scale="72" fitToHeight="0"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A5A5F-E5EA-9D43-9180-BF94447A3E3C}">
  <sheetPr>
    <pageSetUpPr fitToPage="1"/>
  </sheetPr>
  <dimension ref="A1:Y32"/>
  <sheetViews>
    <sheetView zoomScaleNormal="100" workbookViewId="0">
      <pane ySplit="2" topLeftCell="A5" activePane="bottomLeft" state="frozen"/>
      <selection activeCell="E19" sqref="E19"/>
      <selection pane="bottomLeft" activeCell="B5" sqref="B5"/>
    </sheetView>
  </sheetViews>
  <sheetFormatPr baseColWidth="10" defaultColWidth="11.5" defaultRowHeight="15"/>
  <cols>
    <col min="1" max="1" width="3.83203125" customWidth="1"/>
    <col min="2" max="2" width="6.33203125" bestFit="1" customWidth="1"/>
    <col min="3" max="3" width="14.1640625" bestFit="1" customWidth="1"/>
    <col min="4" max="4" width="42.33203125" style="6" customWidth="1"/>
    <col min="5" max="5" width="18.6640625" bestFit="1" customWidth="1"/>
    <col min="6" max="6" width="20.6640625" bestFit="1" customWidth="1"/>
    <col min="7" max="7" width="8.5" style="157" bestFit="1" customWidth="1"/>
    <col min="8" max="8" width="12.6640625" style="144" bestFit="1" customWidth="1"/>
    <col min="9" max="9" width="9.33203125" style="141" bestFit="1" customWidth="1"/>
    <col min="10" max="10" width="17.33203125" style="262" bestFit="1" customWidth="1"/>
    <col min="11" max="11" width="23" bestFit="1" customWidth="1"/>
    <col min="12" max="12" width="14" customWidth="1"/>
    <col min="13" max="13" width="54.5" customWidth="1"/>
    <col min="14" max="14" width="11.83203125" hidden="1" customWidth="1"/>
    <col min="15" max="15" width="11.6640625" hidden="1" customWidth="1"/>
    <col min="16" max="16" width="11.83203125" hidden="1" customWidth="1"/>
    <col min="17" max="17" width="12.33203125" hidden="1" customWidth="1"/>
    <col min="18" max="18" width="11.6640625" hidden="1" customWidth="1"/>
    <col min="19" max="19" width="11.83203125" hidden="1" customWidth="1"/>
    <col min="20" max="21" width="11.6640625" hidden="1" customWidth="1"/>
    <col min="22" max="23" width="11.83203125" hidden="1" customWidth="1"/>
    <col min="24" max="24" width="11.6640625" hidden="1" customWidth="1"/>
    <col min="25" max="25" width="5.6640625" hidden="1" customWidth="1"/>
  </cols>
  <sheetData>
    <row r="1" spans="1:25" ht="16" thickBot="1"/>
    <row r="2" spans="1:25" s="306" customFormat="1" ht="111" thickBot="1">
      <c r="A2" s="301"/>
      <c r="B2" s="295" t="s">
        <v>7</v>
      </c>
      <c r="C2" s="295" t="s">
        <v>12</v>
      </c>
      <c r="D2" s="295" t="s">
        <v>3</v>
      </c>
      <c r="E2" s="281" t="s">
        <v>1</v>
      </c>
      <c r="F2" s="281" t="s">
        <v>287</v>
      </c>
      <c r="G2" s="296" t="s">
        <v>64</v>
      </c>
      <c r="H2" s="297" t="s">
        <v>601</v>
      </c>
      <c r="I2" s="297" t="s">
        <v>602</v>
      </c>
      <c r="J2" s="302" t="s">
        <v>187</v>
      </c>
      <c r="K2" s="299" t="s">
        <v>603</v>
      </c>
      <c r="L2" s="300" t="s">
        <v>2</v>
      </c>
      <c r="M2" s="295" t="s">
        <v>604</v>
      </c>
      <c r="N2" s="303" t="s">
        <v>188</v>
      </c>
      <c r="O2" s="304" t="s">
        <v>189</v>
      </c>
      <c r="P2" s="304" t="s">
        <v>190</v>
      </c>
      <c r="Q2" s="304" t="s">
        <v>191</v>
      </c>
      <c r="R2" s="304" t="s">
        <v>192</v>
      </c>
      <c r="S2" s="304" t="s">
        <v>193</v>
      </c>
      <c r="T2" s="304" t="s">
        <v>194</v>
      </c>
      <c r="U2" s="304" t="s">
        <v>195</v>
      </c>
      <c r="V2" s="304" t="s">
        <v>196</v>
      </c>
      <c r="W2" s="303" t="s">
        <v>197</v>
      </c>
      <c r="X2" s="305"/>
      <c r="Y2" s="305"/>
    </row>
    <row r="3" spans="1:25" s="124" customFormat="1" ht="16">
      <c r="B3" s="90"/>
      <c r="C3" s="70"/>
      <c r="D3" s="71"/>
      <c r="E3" s="73"/>
      <c r="F3" s="93"/>
      <c r="G3" s="156"/>
      <c r="H3" s="101"/>
      <c r="I3" s="138"/>
      <c r="J3" s="72"/>
      <c r="K3" s="70"/>
      <c r="L3" s="71"/>
      <c r="M3" s="71"/>
      <c r="N3" s="62">
        <v>4712</v>
      </c>
      <c r="O3" s="62"/>
      <c r="P3" s="62"/>
      <c r="Q3" s="62">
        <v>68</v>
      </c>
      <c r="R3" s="62"/>
      <c r="S3" s="62">
        <v>23280</v>
      </c>
      <c r="T3" s="62"/>
      <c r="U3" s="62"/>
      <c r="V3" s="62"/>
      <c r="W3" s="62"/>
      <c r="X3" s="125">
        <f t="shared" ref="X3:X26" si="0">SUM(N3:W3)</f>
        <v>28060</v>
      </c>
      <c r="Y3" s="126">
        <f t="shared" ref="Y3:Y27" si="1">X3-J3</f>
        <v>28060</v>
      </c>
    </row>
    <row r="4" spans="1:25" s="124" customFormat="1" ht="34">
      <c r="B4" s="399" t="s">
        <v>0</v>
      </c>
      <c r="C4" s="21" t="s">
        <v>9</v>
      </c>
      <c r="D4" s="22" t="s">
        <v>687</v>
      </c>
      <c r="E4" s="21" t="s">
        <v>688</v>
      </c>
      <c r="F4" s="21"/>
      <c r="G4" s="176">
        <v>15.875</v>
      </c>
      <c r="H4" s="175">
        <v>42937</v>
      </c>
      <c r="I4" s="192">
        <v>43738</v>
      </c>
      <c r="J4" s="34">
        <v>176553</v>
      </c>
      <c r="K4" s="35"/>
      <c r="L4" s="21" t="s">
        <v>6</v>
      </c>
      <c r="M4" s="22"/>
      <c r="N4" s="62"/>
      <c r="O4" s="62"/>
      <c r="P4" s="62"/>
      <c r="Q4" s="62"/>
      <c r="R4" s="62"/>
      <c r="S4" s="62"/>
      <c r="T4" s="62"/>
      <c r="U4" s="62"/>
      <c r="V4" s="62"/>
      <c r="W4" s="62"/>
      <c r="X4" s="125"/>
      <c r="Y4" s="126"/>
    </row>
    <row r="5" spans="1:25" s="124" customFormat="1" ht="51">
      <c r="B5" s="399" t="s">
        <v>0</v>
      </c>
      <c r="C5" s="22" t="s">
        <v>809</v>
      </c>
      <c r="D5" s="22" t="s">
        <v>810</v>
      </c>
      <c r="E5" s="21" t="s">
        <v>811</v>
      </c>
      <c r="F5" s="21" t="s">
        <v>812</v>
      </c>
      <c r="G5" s="176">
        <v>47.076000000000001</v>
      </c>
      <c r="H5" s="175">
        <v>42962</v>
      </c>
      <c r="I5" s="192">
        <v>43312</v>
      </c>
      <c r="J5" s="273">
        <v>19950</v>
      </c>
      <c r="K5" s="21" t="s">
        <v>807</v>
      </c>
      <c r="L5" s="21" t="s">
        <v>0</v>
      </c>
      <c r="M5" s="22" t="s">
        <v>813</v>
      </c>
      <c r="N5" s="62"/>
      <c r="O5" s="62"/>
      <c r="P5" s="62"/>
      <c r="Q5" s="62"/>
      <c r="R5" s="62"/>
      <c r="S5" s="62"/>
      <c r="T5" s="62"/>
      <c r="U5" s="62"/>
      <c r="V5" s="62"/>
      <c r="W5" s="62"/>
      <c r="X5" s="125"/>
      <c r="Y5" s="126"/>
    </row>
    <row r="6" spans="1:25" s="124" customFormat="1" ht="34">
      <c r="B6" s="22" t="s">
        <v>0</v>
      </c>
      <c r="C6" s="21" t="s">
        <v>1051</v>
      </c>
      <c r="D6" s="22" t="s">
        <v>1050</v>
      </c>
      <c r="E6" s="21" t="s">
        <v>684</v>
      </c>
      <c r="F6" s="21"/>
      <c r="G6" s="176">
        <v>10.664</v>
      </c>
      <c r="H6" s="175">
        <v>43070</v>
      </c>
      <c r="I6" s="192">
        <v>43434</v>
      </c>
      <c r="J6" s="271">
        <v>62000</v>
      </c>
      <c r="K6" s="35"/>
      <c r="L6" s="21" t="s">
        <v>6</v>
      </c>
      <c r="M6" s="22"/>
      <c r="N6" s="62"/>
      <c r="O6" s="62"/>
      <c r="P6" s="62"/>
      <c r="Q6" s="62"/>
      <c r="R6" s="62"/>
      <c r="S6" s="62"/>
      <c r="T6" s="62"/>
      <c r="U6" s="62"/>
      <c r="V6" s="62"/>
      <c r="W6" s="62"/>
      <c r="X6" s="125"/>
      <c r="Y6" s="126"/>
    </row>
    <row r="7" spans="1:25" s="124" customFormat="1" ht="34">
      <c r="B7" s="22" t="s">
        <v>0</v>
      </c>
      <c r="C7" s="21" t="s">
        <v>598</v>
      </c>
      <c r="D7" s="22" t="s">
        <v>678</v>
      </c>
      <c r="E7" s="21" t="s">
        <v>679</v>
      </c>
      <c r="F7" s="21"/>
      <c r="G7" s="176">
        <v>10.308</v>
      </c>
      <c r="H7" s="175">
        <v>42979</v>
      </c>
      <c r="I7" s="192">
        <v>43708</v>
      </c>
      <c r="J7" s="271">
        <v>144750</v>
      </c>
      <c r="K7" s="35"/>
      <c r="L7" s="21" t="s">
        <v>6</v>
      </c>
      <c r="M7" s="22"/>
      <c r="N7" s="62"/>
      <c r="O7" s="62"/>
      <c r="P7" s="62"/>
      <c r="Q7" s="62"/>
      <c r="R7" s="62"/>
      <c r="S7" s="62"/>
      <c r="T7" s="62"/>
      <c r="U7" s="62"/>
      <c r="V7" s="62"/>
      <c r="W7" s="62"/>
      <c r="X7" s="125"/>
      <c r="Y7" s="126"/>
    </row>
    <row r="8" spans="1:25" s="124" customFormat="1" ht="35" thickBot="1">
      <c r="B8" s="554" t="s">
        <v>0</v>
      </c>
      <c r="C8" s="555" t="s">
        <v>1011</v>
      </c>
      <c r="D8" s="202" t="s">
        <v>1048</v>
      </c>
      <c r="E8" s="555" t="s">
        <v>683</v>
      </c>
      <c r="F8" s="555"/>
      <c r="G8" s="556">
        <v>10.215</v>
      </c>
      <c r="H8" s="557">
        <v>43009</v>
      </c>
      <c r="I8" s="558">
        <v>43830</v>
      </c>
      <c r="J8" s="559">
        <v>39999.699999999997</v>
      </c>
      <c r="K8" s="560"/>
      <c r="L8" s="555" t="s">
        <v>6</v>
      </c>
      <c r="M8" s="554"/>
      <c r="N8" s="62"/>
      <c r="O8" s="62"/>
      <c r="P8" s="62"/>
      <c r="Q8" s="62"/>
      <c r="R8" s="62"/>
      <c r="S8" s="62"/>
      <c r="T8" s="62"/>
      <c r="U8" s="62"/>
      <c r="V8" s="62"/>
      <c r="W8" s="62"/>
      <c r="X8" s="125"/>
      <c r="Y8" s="126"/>
    </row>
    <row r="9" spans="1:25" s="124" customFormat="1" ht="17">
      <c r="B9" s="58" t="s">
        <v>16</v>
      </c>
      <c r="C9" s="59" t="s">
        <v>595</v>
      </c>
      <c r="D9" s="59" t="s">
        <v>685</v>
      </c>
      <c r="E9" s="239" t="s">
        <v>686</v>
      </c>
      <c r="F9" s="60"/>
      <c r="G9" s="553" t="s">
        <v>899</v>
      </c>
      <c r="H9" s="166" t="s">
        <v>308</v>
      </c>
      <c r="I9" s="167" t="s">
        <v>37</v>
      </c>
      <c r="J9" s="61">
        <v>3926</v>
      </c>
      <c r="K9" s="58" t="s">
        <v>1207</v>
      </c>
      <c r="L9" s="59"/>
      <c r="M9" s="59" t="s">
        <v>1208</v>
      </c>
      <c r="N9" s="62"/>
      <c r="O9" s="62"/>
      <c r="P9" s="62"/>
      <c r="Q9" s="62"/>
      <c r="R9" s="62"/>
      <c r="S9" s="62"/>
      <c r="T9" s="62"/>
      <c r="U9" s="62"/>
      <c r="V9" s="62"/>
      <c r="W9" s="62"/>
      <c r="X9" s="125"/>
      <c r="Y9" s="126"/>
    </row>
    <row r="10" spans="1:25" s="63" customFormat="1" ht="34">
      <c r="A10" s="57"/>
      <c r="B10" s="71" t="s">
        <v>16</v>
      </c>
      <c r="C10" s="71" t="s">
        <v>1078</v>
      </c>
      <c r="D10" s="71" t="s">
        <v>1070</v>
      </c>
      <c r="E10" s="71" t="s">
        <v>74</v>
      </c>
      <c r="F10" s="102">
        <v>1762</v>
      </c>
      <c r="G10" s="154"/>
      <c r="H10" s="101" t="s">
        <v>23</v>
      </c>
      <c r="I10" s="138" t="s">
        <v>36</v>
      </c>
      <c r="J10" s="104">
        <v>36000</v>
      </c>
      <c r="K10" s="71" t="s">
        <v>91</v>
      </c>
      <c r="L10" s="71" t="s">
        <v>6</v>
      </c>
      <c r="M10" s="71" t="s">
        <v>220</v>
      </c>
      <c r="N10" s="62"/>
      <c r="O10" s="62">
        <v>101856</v>
      </c>
      <c r="P10" s="62"/>
      <c r="Q10" s="62">
        <v>39723</v>
      </c>
      <c r="R10" s="62">
        <v>21300</v>
      </c>
      <c r="S10" s="62">
        <v>11320</v>
      </c>
      <c r="T10" s="62">
        <v>7037</v>
      </c>
      <c r="U10" s="62"/>
      <c r="V10" s="62"/>
      <c r="W10" s="62">
        <v>15759</v>
      </c>
      <c r="X10" s="26">
        <f t="shared" ref="X10" si="2">SUM(N10:W10)</f>
        <v>196995</v>
      </c>
      <c r="Y10" s="27">
        <f t="shared" ref="Y10" si="3">X10-J10</f>
        <v>160995</v>
      </c>
    </row>
    <row r="11" spans="1:25" s="367" customFormat="1" ht="51">
      <c r="A11" s="357"/>
      <c r="B11" s="342" t="s">
        <v>16</v>
      </c>
      <c r="C11" s="342" t="s">
        <v>9</v>
      </c>
      <c r="D11" s="358" t="s">
        <v>1057</v>
      </c>
      <c r="E11" s="359" t="s">
        <v>1058</v>
      </c>
      <c r="F11" s="359" t="s">
        <v>1059</v>
      </c>
      <c r="G11" s="360">
        <v>15.875</v>
      </c>
      <c r="H11" s="361" t="s">
        <v>1060</v>
      </c>
      <c r="I11" s="362" t="s">
        <v>39</v>
      </c>
      <c r="J11" s="363">
        <v>377956</v>
      </c>
      <c r="K11" s="342" t="s">
        <v>10</v>
      </c>
      <c r="L11" s="358" t="s">
        <v>5</v>
      </c>
      <c r="M11" s="358" t="s">
        <v>1061</v>
      </c>
      <c r="N11" s="364">
        <f>18720</f>
        <v>18720</v>
      </c>
      <c r="O11" s="364">
        <f>18252+14040+29328</f>
        <v>61620</v>
      </c>
      <c r="P11" s="364">
        <f>90090+43680</f>
        <v>133770</v>
      </c>
      <c r="Q11" s="364">
        <f>6892+3276+1396+5756+12025</f>
        <v>29345</v>
      </c>
      <c r="R11" s="364"/>
      <c r="S11" s="364">
        <f>31550</f>
        <v>31550</v>
      </c>
      <c r="T11" s="364">
        <v>21765.25</v>
      </c>
      <c r="U11" s="364">
        <f>81185.75</f>
        <v>81185.75</v>
      </c>
      <c r="V11" s="364"/>
      <c r="W11" s="364"/>
      <c r="X11" s="365">
        <f t="shared" ref="X11:X12" si="4">SUM(N11:W11)</f>
        <v>377956</v>
      </c>
      <c r="Y11" s="366">
        <f t="shared" si="1"/>
        <v>0</v>
      </c>
    </row>
    <row r="12" spans="1:25" s="367" customFormat="1" ht="35" thickBot="1">
      <c r="A12" s="357"/>
      <c r="B12" s="561" t="s">
        <v>16</v>
      </c>
      <c r="C12" s="561" t="s">
        <v>4</v>
      </c>
      <c r="D12" s="562" t="s">
        <v>1062</v>
      </c>
      <c r="E12" s="562" t="s">
        <v>1063</v>
      </c>
      <c r="F12" s="561" t="s">
        <v>1064</v>
      </c>
      <c r="G12" s="563">
        <v>12.3</v>
      </c>
      <c r="H12" s="564" t="s">
        <v>1065</v>
      </c>
      <c r="I12" s="565" t="s">
        <v>1066</v>
      </c>
      <c r="J12" s="566">
        <v>433473.04</v>
      </c>
      <c r="K12" s="567" t="s">
        <v>100</v>
      </c>
      <c r="L12" s="562" t="s">
        <v>5</v>
      </c>
      <c r="M12" s="562" t="s">
        <v>1067</v>
      </c>
      <c r="N12" s="364">
        <f>5500+5922.68</f>
        <v>11422.68</v>
      </c>
      <c r="O12" s="364">
        <v>89936</v>
      </c>
      <c r="P12" s="364">
        <v>189065.8</v>
      </c>
      <c r="Q12" s="364"/>
      <c r="R12" s="364">
        <v>22485</v>
      </c>
      <c r="S12" s="364">
        <f>7632+12240</f>
        <v>19872</v>
      </c>
      <c r="T12" s="364">
        <f>1000+450+3200+31480.72</f>
        <v>36130.720000000001</v>
      </c>
      <c r="U12" s="364"/>
      <c r="V12" s="364"/>
      <c r="W12" s="364">
        <v>64560.84</v>
      </c>
      <c r="X12" s="365">
        <f t="shared" si="4"/>
        <v>433473.03999999992</v>
      </c>
      <c r="Y12" s="366">
        <f t="shared" si="1"/>
        <v>0</v>
      </c>
    </row>
    <row r="13" spans="1:25" s="124" customFormat="1" ht="136">
      <c r="B13" s="102" t="s">
        <v>34</v>
      </c>
      <c r="C13" s="102" t="s">
        <v>415</v>
      </c>
      <c r="D13" s="45" t="s">
        <v>465</v>
      </c>
      <c r="E13" s="128" t="s">
        <v>109</v>
      </c>
      <c r="F13" s="46" t="s">
        <v>467</v>
      </c>
      <c r="G13" s="156">
        <v>15.805</v>
      </c>
      <c r="H13" s="101" t="s">
        <v>107</v>
      </c>
      <c r="I13" s="138" t="s">
        <v>225</v>
      </c>
      <c r="J13" s="129">
        <v>25111</v>
      </c>
      <c r="K13" s="102" t="s">
        <v>182</v>
      </c>
      <c r="L13" s="45" t="s">
        <v>5</v>
      </c>
      <c r="M13" s="45" t="s">
        <v>466</v>
      </c>
      <c r="N13" s="62">
        <v>4884</v>
      </c>
      <c r="O13" s="62"/>
      <c r="P13" s="62"/>
      <c r="Q13" s="62">
        <v>374</v>
      </c>
      <c r="R13" s="62">
        <v>9132</v>
      </c>
      <c r="S13" s="62"/>
      <c r="T13" s="62">
        <v>2750</v>
      </c>
      <c r="U13" s="62"/>
      <c r="V13" s="62">
        <v>562</v>
      </c>
      <c r="W13" s="62"/>
      <c r="X13" s="125">
        <f t="shared" ref="X13" si="5">SUM(N13:W13)</f>
        <v>17702</v>
      </c>
      <c r="Y13" s="126">
        <f t="shared" si="1"/>
        <v>-7409</v>
      </c>
    </row>
    <row r="14" spans="1:25" s="124" customFormat="1" ht="85">
      <c r="B14" s="70" t="s">
        <v>34</v>
      </c>
      <c r="C14" s="70" t="s">
        <v>414</v>
      </c>
      <c r="D14" s="71" t="s">
        <v>474</v>
      </c>
      <c r="E14" s="73" t="s">
        <v>108</v>
      </c>
      <c r="F14" s="93" t="s">
        <v>473</v>
      </c>
      <c r="G14" s="156">
        <v>15.805</v>
      </c>
      <c r="H14" s="101" t="s">
        <v>107</v>
      </c>
      <c r="I14" s="138" t="s">
        <v>39</v>
      </c>
      <c r="J14" s="72">
        <v>20681</v>
      </c>
      <c r="K14" s="70" t="s">
        <v>185</v>
      </c>
      <c r="L14" s="71" t="s">
        <v>5</v>
      </c>
      <c r="M14" s="71" t="s">
        <v>495</v>
      </c>
      <c r="N14" s="62">
        <v>4884</v>
      </c>
      <c r="O14" s="62"/>
      <c r="P14" s="62"/>
      <c r="Q14" s="62">
        <v>374</v>
      </c>
      <c r="R14" s="62">
        <v>10471</v>
      </c>
      <c r="S14" s="62"/>
      <c r="T14" s="62"/>
      <c r="U14" s="62"/>
      <c r="V14" s="62"/>
      <c r="W14" s="62"/>
      <c r="X14" s="125">
        <f t="shared" ref="X14:X15" si="6">SUM(N14:W14)</f>
        <v>15729</v>
      </c>
      <c r="Y14" s="126">
        <f t="shared" si="1"/>
        <v>-4952</v>
      </c>
    </row>
    <row r="15" spans="1:25" s="124" customFormat="1" ht="17">
      <c r="B15" s="41" t="s">
        <v>34</v>
      </c>
      <c r="C15" s="41" t="s">
        <v>702</v>
      </c>
      <c r="D15" s="135" t="s">
        <v>703</v>
      </c>
      <c r="E15" s="136" t="s">
        <v>704</v>
      </c>
      <c r="F15" s="136"/>
      <c r="G15" s="158"/>
      <c r="H15" s="146"/>
      <c r="I15" s="143">
        <v>43220</v>
      </c>
      <c r="J15" s="130">
        <v>48699</v>
      </c>
      <c r="K15" s="102"/>
      <c r="L15" s="45" t="s">
        <v>5</v>
      </c>
      <c r="M15" s="45"/>
      <c r="N15" s="62">
        <v>17389</v>
      </c>
      <c r="O15" s="62">
        <v>3000</v>
      </c>
      <c r="P15" s="62"/>
      <c r="Q15" s="62">
        <f>3793</f>
        <v>3793</v>
      </c>
      <c r="R15" s="62">
        <v>7122</v>
      </c>
      <c r="S15" s="62"/>
      <c r="T15" s="62">
        <v>3263</v>
      </c>
      <c r="U15" s="62"/>
      <c r="V15" s="62"/>
      <c r="W15" s="62"/>
      <c r="X15" s="125">
        <f t="shared" si="6"/>
        <v>34567</v>
      </c>
      <c r="Y15" s="126">
        <f t="shared" si="1"/>
        <v>-14132</v>
      </c>
    </row>
    <row r="16" spans="1:25" s="124" customFormat="1" ht="51">
      <c r="B16" s="102" t="s">
        <v>34</v>
      </c>
      <c r="C16" s="102" t="s">
        <v>14</v>
      </c>
      <c r="D16" s="45" t="s">
        <v>404</v>
      </c>
      <c r="E16" s="128" t="s">
        <v>151</v>
      </c>
      <c r="F16" s="128" t="s">
        <v>403</v>
      </c>
      <c r="G16" s="156">
        <v>15.808</v>
      </c>
      <c r="H16" s="101" t="s">
        <v>51</v>
      </c>
      <c r="I16" s="142" t="s">
        <v>225</v>
      </c>
      <c r="J16" s="129">
        <v>126590</v>
      </c>
      <c r="K16" s="45" t="s">
        <v>94</v>
      </c>
      <c r="L16" s="45" t="s">
        <v>6</v>
      </c>
      <c r="M16" s="45" t="s">
        <v>405</v>
      </c>
      <c r="N16" s="68"/>
      <c r="O16" s="68"/>
      <c r="P16" s="68"/>
      <c r="Q16" s="68"/>
      <c r="R16" s="68">
        <v>21608</v>
      </c>
      <c r="S16" s="68"/>
      <c r="T16" s="68"/>
      <c r="U16" s="68">
        <v>1720</v>
      </c>
      <c r="V16" s="68">
        <v>982</v>
      </c>
      <c r="W16" s="68"/>
      <c r="X16" s="125">
        <f t="shared" ref="X16:X18" si="7">SUM(N16:W16)</f>
        <v>24310</v>
      </c>
      <c r="Y16" s="126">
        <f t="shared" si="1"/>
        <v>-102280</v>
      </c>
    </row>
    <row r="17" spans="2:25" s="124" customFormat="1" ht="119">
      <c r="B17" s="70" t="s">
        <v>34</v>
      </c>
      <c r="C17" s="70" t="s">
        <v>414</v>
      </c>
      <c r="D17" s="71" t="s">
        <v>478</v>
      </c>
      <c r="E17" s="73" t="s">
        <v>904</v>
      </c>
      <c r="F17" s="93" t="s">
        <v>471</v>
      </c>
      <c r="G17" s="156">
        <v>15.805</v>
      </c>
      <c r="H17" s="101" t="s">
        <v>107</v>
      </c>
      <c r="I17" s="138" t="s">
        <v>39</v>
      </c>
      <c r="J17" s="72">
        <v>17702</v>
      </c>
      <c r="K17" s="70" t="s">
        <v>183</v>
      </c>
      <c r="L17" s="71" t="s">
        <v>5</v>
      </c>
      <c r="M17" s="71" t="s">
        <v>472</v>
      </c>
      <c r="N17" s="68">
        <f>3638+8019</f>
        <v>11657</v>
      </c>
      <c r="O17" s="68"/>
      <c r="P17" s="68">
        <v>8400</v>
      </c>
      <c r="Q17" s="68">
        <v>1021</v>
      </c>
      <c r="R17" s="68">
        <v>500</v>
      </c>
      <c r="S17" s="68">
        <v>1000</v>
      </c>
      <c r="T17" s="68">
        <v>413</v>
      </c>
      <c r="U17" s="68">
        <v>3600</v>
      </c>
      <c r="V17" s="68"/>
      <c r="W17" s="68">
        <v>1409</v>
      </c>
      <c r="X17" s="125">
        <f t="shared" si="7"/>
        <v>28000</v>
      </c>
      <c r="Y17" s="126">
        <f t="shared" si="1"/>
        <v>10298</v>
      </c>
    </row>
    <row r="18" spans="2:25" s="124" customFormat="1" ht="238">
      <c r="B18" s="70" t="s">
        <v>34</v>
      </c>
      <c r="C18" s="70" t="s">
        <v>414</v>
      </c>
      <c r="D18" s="71" t="s">
        <v>468</v>
      </c>
      <c r="E18" s="73" t="s">
        <v>110</v>
      </c>
      <c r="F18" s="93" t="s">
        <v>469</v>
      </c>
      <c r="G18" s="156">
        <v>15.805</v>
      </c>
      <c r="H18" s="101" t="s">
        <v>107</v>
      </c>
      <c r="I18" s="138" t="s">
        <v>39</v>
      </c>
      <c r="J18" s="72">
        <v>15729</v>
      </c>
      <c r="K18" s="70" t="s">
        <v>183</v>
      </c>
      <c r="L18" s="71" t="s">
        <v>5</v>
      </c>
      <c r="M18" s="71" t="s">
        <v>470</v>
      </c>
      <c r="N18" s="68">
        <v>19023</v>
      </c>
      <c r="O18" s="68"/>
      <c r="P18" s="68">
        <v>1344</v>
      </c>
      <c r="Q18" s="68">
        <f>276+103</f>
        <v>379</v>
      </c>
      <c r="R18" s="68">
        <v>12935</v>
      </c>
      <c r="S18" s="68"/>
      <c r="T18" s="68">
        <v>5050</v>
      </c>
      <c r="U18" s="68"/>
      <c r="V18" s="68"/>
      <c r="W18" s="68"/>
      <c r="X18" s="125">
        <f t="shared" si="7"/>
        <v>38731</v>
      </c>
      <c r="Y18" s="126">
        <f t="shared" si="1"/>
        <v>23002</v>
      </c>
    </row>
    <row r="19" spans="2:25" s="124" customFormat="1" ht="16">
      <c r="B19" s="90"/>
      <c r="C19" s="70"/>
      <c r="D19" s="105"/>
      <c r="E19" s="73"/>
      <c r="F19" s="93"/>
      <c r="G19" s="156"/>
      <c r="H19" s="101"/>
      <c r="I19" s="138"/>
      <c r="J19" s="72"/>
      <c r="K19" s="70"/>
      <c r="L19" s="71"/>
      <c r="M19" s="71"/>
      <c r="N19" s="48">
        <v>13776</v>
      </c>
      <c r="O19" s="68"/>
      <c r="P19" s="68">
        <v>5225</v>
      </c>
      <c r="Q19" s="68">
        <f>200+400</f>
        <v>600</v>
      </c>
      <c r="R19" s="68"/>
      <c r="S19" s="68">
        <v>1050</v>
      </c>
      <c r="T19" s="68">
        <v>17376</v>
      </c>
      <c r="U19" s="68"/>
      <c r="V19" s="68"/>
      <c r="W19" s="68"/>
      <c r="X19" s="125">
        <f t="shared" si="0"/>
        <v>38027</v>
      </c>
      <c r="Y19" s="126">
        <f t="shared" si="1"/>
        <v>38027</v>
      </c>
    </row>
    <row r="20" spans="2:25" s="124" customFormat="1" ht="16">
      <c r="B20" s="127"/>
      <c r="C20" s="102"/>
      <c r="D20" s="45"/>
      <c r="E20" s="128"/>
      <c r="F20" s="46"/>
      <c r="G20" s="156"/>
      <c r="H20" s="101"/>
      <c r="I20" s="138"/>
      <c r="J20" s="129"/>
      <c r="K20" s="102"/>
      <c r="L20" s="45"/>
      <c r="M20" s="45"/>
      <c r="N20" s="68">
        <v>8694</v>
      </c>
      <c r="O20" s="68"/>
      <c r="P20" s="68"/>
      <c r="Q20" s="68">
        <f>1896</f>
        <v>1896</v>
      </c>
      <c r="R20" s="68">
        <v>2634</v>
      </c>
      <c r="S20" s="68">
        <v>6000</v>
      </c>
      <c r="T20" s="68">
        <v>360</v>
      </c>
      <c r="U20" s="68"/>
      <c r="V20" s="68"/>
      <c r="W20" s="68"/>
      <c r="X20" s="125">
        <f t="shared" si="0"/>
        <v>19584</v>
      </c>
      <c r="Y20" s="126">
        <f t="shared" si="1"/>
        <v>19584</v>
      </c>
    </row>
    <row r="21" spans="2:25" s="124" customFormat="1" ht="16">
      <c r="B21" s="102"/>
      <c r="C21" s="102"/>
      <c r="D21" s="45"/>
      <c r="E21" s="128"/>
      <c r="F21" s="128"/>
      <c r="G21" s="156"/>
      <c r="H21" s="101"/>
      <c r="I21" s="142"/>
      <c r="J21" s="129"/>
      <c r="K21" s="45"/>
      <c r="L21" s="45"/>
      <c r="M21" s="45"/>
      <c r="N21" s="68"/>
      <c r="O21" s="68"/>
      <c r="P21" s="68"/>
      <c r="Q21" s="68"/>
      <c r="R21" s="68">
        <v>21608</v>
      </c>
      <c r="S21" s="68"/>
      <c r="T21" s="68"/>
      <c r="U21" s="68">
        <v>1720</v>
      </c>
      <c r="V21" s="68">
        <v>982</v>
      </c>
      <c r="W21" s="68"/>
      <c r="X21" s="125">
        <f t="shared" si="0"/>
        <v>24310</v>
      </c>
      <c r="Y21" s="126">
        <f t="shared" si="1"/>
        <v>24310</v>
      </c>
    </row>
    <row r="22" spans="2:25" s="124" customFormat="1" ht="16">
      <c r="B22" s="231"/>
      <c r="C22" s="342"/>
      <c r="D22" s="230"/>
      <c r="E22" s="231"/>
      <c r="F22" s="231"/>
      <c r="G22" s="232"/>
      <c r="H22" s="233"/>
      <c r="I22" s="143"/>
      <c r="J22" s="343"/>
      <c r="K22" s="102"/>
      <c r="L22" s="45"/>
      <c r="M22" s="45"/>
      <c r="N22" s="68">
        <f>17088+7582</f>
        <v>24670</v>
      </c>
      <c r="O22" s="68">
        <f>34271+0</f>
        <v>34271</v>
      </c>
      <c r="P22" s="68">
        <v>45084</v>
      </c>
      <c r="Q22" s="68">
        <v>11833</v>
      </c>
      <c r="R22" s="68"/>
      <c r="S22" s="68"/>
      <c r="T22" s="68">
        <v>6600</v>
      </c>
      <c r="U22" s="68">
        <v>45100</v>
      </c>
      <c r="V22" s="68">
        <v>14730</v>
      </c>
      <c r="W22" s="68">
        <v>44006</v>
      </c>
      <c r="X22" s="125">
        <f t="shared" si="0"/>
        <v>226294</v>
      </c>
      <c r="Y22" s="126">
        <f t="shared" si="1"/>
        <v>226294</v>
      </c>
    </row>
    <row r="23" spans="2:25" s="229" customFormat="1" ht="16">
      <c r="B23" s="90"/>
      <c r="C23" s="70"/>
      <c r="D23" s="71"/>
      <c r="E23" s="73"/>
      <c r="F23" s="93"/>
      <c r="G23" s="156"/>
      <c r="H23" s="101"/>
      <c r="I23" s="138"/>
      <c r="J23" s="72"/>
      <c r="K23" s="70"/>
      <c r="L23" s="71"/>
      <c r="M23" s="71"/>
      <c r="N23" s="68">
        <f>4252+3224+4337+3288+4424+3354</f>
        <v>22879</v>
      </c>
      <c r="O23" s="68"/>
      <c r="P23" s="68">
        <f>(15243*3)</f>
        <v>45729</v>
      </c>
      <c r="Q23" s="68">
        <f>1474+1481+1487</f>
        <v>4442</v>
      </c>
      <c r="R23" s="68"/>
      <c r="S23" s="68"/>
      <c r="T23" s="68">
        <v>500</v>
      </c>
      <c r="U23" s="68"/>
      <c r="V23" s="68">
        <f>4644*3</f>
        <v>13932</v>
      </c>
      <c r="W23" s="68">
        <f>12950+13035+13122</f>
        <v>39107</v>
      </c>
      <c r="X23" s="234">
        <f t="shared" si="0"/>
        <v>126589</v>
      </c>
      <c r="Y23" s="235">
        <f t="shared" si="1"/>
        <v>126589</v>
      </c>
    </row>
    <row r="24" spans="2:25" s="124" customFormat="1" ht="16">
      <c r="B24" s="127"/>
      <c r="C24" s="127"/>
      <c r="D24" s="44"/>
      <c r="E24" s="128"/>
      <c r="F24" s="46"/>
      <c r="G24" s="156"/>
      <c r="H24" s="101"/>
      <c r="I24" s="138"/>
      <c r="J24" s="129"/>
      <c r="K24" s="102"/>
      <c r="L24" s="45"/>
      <c r="M24" s="45"/>
      <c r="N24" s="68">
        <v>12089</v>
      </c>
      <c r="O24" s="68"/>
      <c r="P24" s="68">
        <v>2123</v>
      </c>
      <c r="Q24" s="68">
        <f>175+162</f>
        <v>337</v>
      </c>
      <c r="R24" s="68">
        <v>10362</v>
      </c>
      <c r="S24" s="68"/>
      <c r="T24" s="68">
        <v>200</v>
      </c>
      <c r="U24" s="68"/>
      <c r="V24" s="68"/>
      <c r="W24" s="68"/>
      <c r="X24" s="125">
        <f t="shared" si="0"/>
        <v>25111</v>
      </c>
      <c r="Y24" s="126">
        <f t="shared" si="1"/>
        <v>25111</v>
      </c>
    </row>
    <row r="25" spans="2:25" s="124" customFormat="1" ht="16">
      <c r="B25" s="70"/>
      <c r="C25" s="70"/>
      <c r="D25" s="71"/>
      <c r="E25" s="73"/>
      <c r="F25" s="93"/>
      <c r="G25" s="156"/>
      <c r="H25" s="101"/>
      <c r="I25" s="138"/>
      <c r="J25" s="72"/>
      <c r="K25" s="70"/>
      <c r="L25" s="71"/>
      <c r="M25" s="71"/>
      <c r="N25" s="68">
        <v>19023</v>
      </c>
      <c r="O25" s="68"/>
      <c r="P25" s="68">
        <v>1344</v>
      </c>
      <c r="Q25" s="68">
        <f>276+103</f>
        <v>379</v>
      </c>
      <c r="R25" s="68">
        <v>12935</v>
      </c>
      <c r="S25" s="68"/>
      <c r="T25" s="68">
        <v>5050</v>
      </c>
      <c r="U25" s="68"/>
      <c r="V25" s="68"/>
      <c r="W25" s="68"/>
      <c r="X25" s="125">
        <f t="shared" si="0"/>
        <v>38731</v>
      </c>
      <c r="Y25" s="126">
        <f t="shared" si="1"/>
        <v>38731</v>
      </c>
    </row>
    <row r="26" spans="2:25" s="124" customFormat="1" ht="16">
      <c r="B26" s="70"/>
      <c r="C26" s="70"/>
      <c r="D26" s="71"/>
      <c r="E26" s="73"/>
      <c r="F26" s="93"/>
      <c r="G26" s="156"/>
      <c r="H26" s="101"/>
      <c r="I26" s="138"/>
      <c r="J26" s="72"/>
      <c r="K26" s="70"/>
      <c r="L26" s="71"/>
      <c r="M26" s="71"/>
      <c r="N26" s="68">
        <f>3638+8019</f>
        <v>11657</v>
      </c>
      <c r="O26" s="68"/>
      <c r="P26" s="68">
        <v>8400</v>
      </c>
      <c r="Q26" s="68">
        <v>1021</v>
      </c>
      <c r="R26" s="68">
        <v>500</v>
      </c>
      <c r="S26" s="68">
        <v>1000</v>
      </c>
      <c r="T26" s="68">
        <v>413</v>
      </c>
      <c r="U26" s="68">
        <v>3600</v>
      </c>
      <c r="V26" s="68"/>
      <c r="W26" s="68">
        <v>1409</v>
      </c>
      <c r="X26" s="125">
        <f t="shared" si="0"/>
        <v>28000</v>
      </c>
      <c r="Y26" s="126">
        <f t="shared" si="1"/>
        <v>28000</v>
      </c>
    </row>
    <row r="27" spans="2:25" s="124" customFormat="1" ht="16">
      <c r="B27" s="102"/>
      <c r="C27" s="45"/>
      <c r="D27" s="45"/>
      <c r="E27" s="128"/>
      <c r="F27" s="46"/>
      <c r="G27" s="156"/>
      <c r="H27" s="101"/>
      <c r="I27" s="138"/>
      <c r="J27" s="129"/>
      <c r="K27" s="45"/>
      <c r="L27" s="45"/>
      <c r="M27" s="45"/>
      <c r="N27" s="68"/>
      <c r="O27" s="68">
        <v>95000</v>
      </c>
      <c r="P27" s="68"/>
      <c r="Q27" s="68"/>
      <c r="R27" s="68">
        <v>6000</v>
      </c>
      <c r="S27" s="68"/>
      <c r="T27" s="68">
        <v>20000</v>
      </c>
      <c r="U27" s="68"/>
      <c r="V27" s="68"/>
      <c r="W27" s="68"/>
      <c r="X27" s="125">
        <f t="shared" ref="X27" si="8">SUM(N27:W27)</f>
        <v>121000</v>
      </c>
      <c r="Y27" s="126">
        <f t="shared" si="1"/>
        <v>121000</v>
      </c>
    </row>
    <row r="28" spans="2:25" s="124" customFormat="1" ht="16">
      <c r="B28" s="127"/>
      <c r="C28" s="45"/>
      <c r="D28" s="45"/>
      <c r="E28" s="46"/>
      <c r="F28" s="128"/>
      <c r="G28" s="156"/>
      <c r="H28" s="101"/>
      <c r="I28" s="138"/>
      <c r="J28" s="129"/>
      <c r="K28" s="102"/>
      <c r="L28" s="45"/>
      <c r="M28" s="45"/>
      <c r="N28" s="95"/>
      <c r="O28" s="95"/>
      <c r="P28" s="95"/>
      <c r="Q28" s="95"/>
      <c r="R28" s="95"/>
      <c r="S28" s="95"/>
      <c r="T28" s="95"/>
      <c r="U28" s="95"/>
      <c r="V28" s="95"/>
      <c r="W28" s="95"/>
      <c r="X28" s="125"/>
      <c r="Y28" s="126"/>
    </row>
    <row r="29" spans="2:25" s="124" customFormat="1" ht="16">
      <c r="B29" s="127"/>
      <c r="C29" s="102"/>
      <c r="D29" s="44"/>
      <c r="E29" s="128"/>
      <c r="F29" s="46"/>
      <c r="G29" s="156"/>
      <c r="H29" s="101"/>
      <c r="I29" s="138"/>
      <c r="J29" s="129"/>
      <c r="K29" s="102"/>
      <c r="L29" s="45"/>
      <c r="M29" s="45"/>
      <c r="N29" s="95"/>
      <c r="O29" s="95"/>
      <c r="P29" s="95"/>
      <c r="Q29" s="95"/>
      <c r="R29" s="95"/>
      <c r="S29" s="95"/>
      <c r="T29" s="95"/>
      <c r="U29" s="95"/>
      <c r="V29" s="95"/>
      <c r="W29" s="95"/>
      <c r="X29" s="125"/>
      <c r="Y29" s="126"/>
    </row>
    <row r="30" spans="2:25" s="124" customFormat="1" ht="17" thickBot="1">
      <c r="B30" s="41"/>
      <c r="C30" s="41"/>
      <c r="D30" s="230"/>
      <c r="E30" s="231"/>
      <c r="F30" s="231"/>
      <c r="G30" s="232"/>
      <c r="H30" s="233"/>
      <c r="I30" s="143"/>
      <c r="J30" s="130"/>
      <c r="K30" s="102"/>
      <c r="L30" s="45"/>
      <c r="M30" s="45"/>
      <c r="N30" s="95"/>
      <c r="O30" s="95"/>
      <c r="P30" s="95"/>
      <c r="Q30" s="95"/>
      <c r="R30" s="95"/>
      <c r="S30" s="95"/>
      <c r="T30" s="95"/>
      <c r="U30" s="95"/>
      <c r="V30" s="95"/>
      <c r="W30" s="95"/>
      <c r="X30" s="125"/>
      <c r="Y30" s="126"/>
    </row>
    <row r="31" spans="2:25" ht="19" customHeight="1" thickTop="1">
      <c r="B31" s="830"/>
      <c r="C31" s="830"/>
      <c r="D31" s="830"/>
      <c r="E31" s="830"/>
      <c r="F31" s="830"/>
      <c r="G31" s="830"/>
      <c r="H31" s="830"/>
      <c r="I31" s="830"/>
      <c r="J31" s="261">
        <f>SUM(J3:J30)</f>
        <v>1549119.74</v>
      </c>
      <c r="K31" s="30"/>
      <c r="L31" s="30"/>
      <c r="M31" s="30"/>
      <c r="N31" s="30"/>
      <c r="O31" s="30"/>
      <c r="P31" s="30"/>
      <c r="Q31" s="30"/>
    </row>
    <row r="32" spans="2:25" ht="25">
      <c r="B32" s="811"/>
      <c r="C32" s="811"/>
      <c r="D32" s="811"/>
    </row>
  </sheetData>
  <mergeCells count="2">
    <mergeCell ref="B31:I31"/>
    <mergeCell ref="B32:D32"/>
  </mergeCells>
  <pageMargins left="0.75" right="0.75" top="1" bottom="1" header="0.5" footer="0.5"/>
  <pageSetup paperSize="9" scale="50" fitToHeight="0" orientation="landscape" horizontalDpi="4294967292" verticalDpi="4294967292"/>
  <ignoredErrors>
    <ignoredError sqref="G9" numberStoredAsText="1"/>
    <ignoredError sqref="H9"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51"/>
  <sheetViews>
    <sheetView topLeftCell="A13" workbookViewId="0">
      <selection activeCell="C50" sqref="C50"/>
    </sheetView>
  </sheetViews>
  <sheetFormatPr baseColWidth="10" defaultColWidth="11.5" defaultRowHeight="29"/>
  <cols>
    <col min="1" max="1" width="3.6640625" style="195" customWidth="1"/>
    <col min="2" max="2" width="29.6640625" style="195" bestFit="1" customWidth="1"/>
    <col min="3" max="3" width="132.6640625" style="195" bestFit="1" customWidth="1"/>
    <col min="4" max="16384" width="11.5" style="195"/>
  </cols>
  <sheetData>
    <row r="1" spans="2:3" ht="30" thickBot="1">
      <c r="B1" s="831" t="s">
        <v>545</v>
      </c>
      <c r="C1" s="832"/>
    </row>
    <row r="2" spans="2:3">
      <c r="B2" s="196" t="s">
        <v>546</v>
      </c>
      <c r="C2" s="196" t="s">
        <v>547</v>
      </c>
    </row>
    <row r="3" spans="2:3">
      <c r="B3" s="197" t="s">
        <v>548</v>
      </c>
      <c r="C3" s="197" t="s">
        <v>549</v>
      </c>
    </row>
    <row r="4" spans="2:3">
      <c r="B4" s="197" t="s">
        <v>550</v>
      </c>
      <c r="C4" s="197" t="s">
        <v>551</v>
      </c>
    </row>
    <row r="5" spans="2:3">
      <c r="B5" s="197" t="s">
        <v>552</v>
      </c>
      <c r="C5" s="197" t="s">
        <v>553</v>
      </c>
    </row>
    <row r="6" spans="2:3">
      <c r="B6" s="197" t="s">
        <v>554</v>
      </c>
      <c r="C6" s="197" t="s">
        <v>555</v>
      </c>
    </row>
    <row r="7" spans="2:3">
      <c r="B7" s="197" t="s">
        <v>556</v>
      </c>
      <c r="C7" s="197" t="s">
        <v>557</v>
      </c>
    </row>
    <row r="8" spans="2:3">
      <c r="B8" s="197" t="s">
        <v>992</v>
      </c>
      <c r="C8" s="197" t="s">
        <v>993</v>
      </c>
    </row>
    <row r="9" spans="2:3">
      <c r="B9" s="197" t="s">
        <v>18</v>
      </c>
      <c r="C9" s="197" t="s">
        <v>558</v>
      </c>
    </row>
    <row r="10" spans="2:3">
      <c r="B10" s="197" t="s">
        <v>559</v>
      </c>
      <c r="C10" s="197" t="s">
        <v>560</v>
      </c>
    </row>
    <row r="11" spans="2:3">
      <c r="B11" s="197" t="s">
        <v>129</v>
      </c>
      <c r="C11" s="197" t="s">
        <v>561</v>
      </c>
    </row>
    <row r="12" spans="2:3">
      <c r="B12" s="197" t="s">
        <v>562</v>
      </c>
      <c r="C12" s="197" t="s">
        <v>563</v>
      </c>
    </row>
    <row r="13" spans="2:3">
      <c r="B13" s="197" t="s">
        <v>9</v>
      </c>
      <c r="C13" s="197" t="s">
        <v>564</v>
      </c>
    </row>
    <row r="14" spans="2:3">
      <c r="B14" s="197" t="s">
        <v>565</v>
      </c>
      <c r="C14" s="197" t="s">
        <v>566</v>
      </c>
    </row>
    <row r="15" spans="2:3">
      <c r="B15" s="197" t="s">
        <v>4</v>
      </c>
      <c r="C15" s="197" t="s">
        <v>567</v>
      </c>
    </row>
    <row r="16" spans="2:3">
      <c r="B16" s="197" t="s">
        <v>568</v>
      </c>
      <c r="C16" s="197" t="s">
        <v>942</v>
      </c>
    </row>
    <row r="17" spans="2:3">
      <c r="B17" s="197" t="s">
        <v>394</v>
      </c>
      <c r="C17" s="197" t="s">
        <v>569</v>
      </c>
    </row>
    <row r="18" spans="2:3">
      <c r="B18" s="197" t="s">
        <v>570</v>
      </c>
      <c r="C18" s="197" t="s">
        <v>571</v>
      </c>
    </row>
    <row r="19" spans="2:3">
      <c r="B19" s="197" t="s">
        <v>275</v>
      </c>
      <c r="C19" s="197" t="s">
        <v>572</v>
      </c>
    </row>
    <row r="20" spans="2:3">
      <c r="B20" s="197" t="s">
        <v>573</v>
      </c>
      <c r="C20" s="197" t="s">
        <v>574</v>
      </c>
    </row>
    <row r="21" spans="2:3">
      <c r="B21" s="197" t="s">
        <v>575</v>
      </c>
      <c r="C21" s="197" t="s">
        <v>907</v>
      </c>
    </row>
    <row r="22" spans="2:3">
      <c r="B22" s="197" t="s">
        <v>577</v>
      </c>
      <c r="C22" s="197" t="s">
        <v>576</v>
      </c>
    </row>
    <row r="23" spans="2:3">
      <c r="B23" s="197" t="s">
        <v>929</v>
      </c>
      <c r="C23" s="197" t="s">
        <v>578</v>
      </c>
    </row>
    <row r="24" spans="2:3">
      <c r="B24" s="197" t="s">
        <v>579</v>
      </c>
      <c r="C24" s="197" t="s">
        <v>580</v>
      </c>
    </row>
    <row r="25" spans="2:3">
      <c r="B25" s="318" t="s">
        <v>527</v>
      </c>
      <c r="C25" s="318" t="s">
        <v>948</v>
      </c>
    </row>
    <row r="26" spans="2:3">
      <c r="B26" s="197" t="s">
        <v>148</v>
      </c>
      <c r="C26" s="197" t="s">
        <v>581</v>
      </c>
    </row>
    <row r="27" spans="2:3">
      <c r="B27" s="197" t="s">
        <v>582</v>
      </c>
      <c r="C27" s="197" t="s">
        <v>583</v>
      </c>
    </row>
    <row r="28" spans="2:3">
      <c r="B28" s="197" t="s">
        <v>86</v>
      </c>
      <c r="C28" s="197" t="s">
        <v>584</v>
      </c>
    </row>
    <row r="29" spans="2:3">
      <c r="B29" s="197" t="s">
        <v>286</v>
      </c>
      <c r="C29" s="197" t="s">
        <v>585</v>
      </c>
    </row>
    <row r="30" spans="2:3">
      <c r="B30" s="197" t="s">
        <v>586</v>
      </c>
      <c r="C30" s="197" t="s">
        <v>587</v>
      </c>
    </row>
    <row r="31" spans="2:3">
      <c r="B31" s="197" t="s">
        <v>11</v>
      </c>
      <c r="C31" s="197" t="s">
        <v>588</v>
      </c>
    </row>
    <row r="32" spans="2:3">
      <c r="B32" s="197" t="s">
        <v>264</v>
      </c>
      <c r="C32" s="197" t="s">
        <v>589</v>
      </c>
    </row>
    <row r="33" spans="1:3">
      <c r="B33" s="318" t="s">
        <v>590</v>
      </c>
      <c r="C33" s="318" t="s">
        <v>591</v>
      </c>
    </row>
    <row r="34" spans="1:3">
      <c r="B34" s="197" t="s">
        <v>592</v>
      </c>
      <c r="C34" s="197" t="s">
        <v>593</v>
      </c>
    </row>
    <row r="35" spans="1:3">
      <c r="B35" s="197" t="s">
        <v>132</v>
      </c>
      <c r="C35" s="197" t="s">
        <v>594</v>
      </c>
    </row>
    <row r="36" spans="1:3">
      <c r="B36" s="197" t="s">
        <v>595</v>
      </c>
      <c r="C36" s="197" t="s">
        <v>596</v>
      </c>
    </row>
    <row r="37" spans="1:3">
      <c r="B37" s="197" t="s">
        <v>1321</v>
      </c>
      <c r="C37" s="197" t="s">
        <v>1322</v>
      </c>
    </row>
    <row r="38" spans="1:3">
      <c r="B38" s="197" t="s">
        <v>1019</v>
      </c>
      <c r="C38" s="197" t="s">
        <v>1020</v>
      </c>
    </row>
    <row r="39" spans="1:3">
      <c r="B39" s="197" t="s">
        <v>13</v>
      </c>
      <c r="C39" s="197" t="s">
        <v>933</v>
      </c>
    </row>
    <row r="40" spans="1:3">
      <c r="B40" s="197" t="s">
        <v>345</v>
      </c>
      <c r="C40" s="197" t="s">
        <v>934</v>
      </c>
    </row>
    <row r="41" spans="1:3" ht="60">
      <c r="B41" s="199" t="s">
        <v>358</v>
      </c>
      <c r="C41" s="198" t="s">
        <v>936</v>
      </c>
    </row>
    <row r="42" spans="1:3">
      <c r="B42" s="197" t="s">
        <v>854</v>
      </c>
      <c r="C42" s="197" t="s">
        <v>1323</v>
      </c>
    </row>
    <row r="43" spans="1:3">
      <c r="B43" s="197" t="s">
        <v>598</v>
      </c>
      <c r="C43" s="197" t="s">
        <v>938</v>
      </c>
    </row>
    <row r="44" spans="1:3">
      <c r="B44" s="197" t="s">
        <v>1324</v>
      </c>
      <c r="C44" s="197" t="s">
        <v>939</v>
      </c>
    </row>
    <row r="45" spans="1:3">
      <c r="B45" s="197" t="s">
        <v>1011</v>
      </c>
      <c r="C45" s="197" t="s">
        <v>940</v>
      </c>
    </row>
    <row r="46" spans="1:3">
      <c r="B46" s="197" t="s">
        <v>597</v>
      </c>
      <c r="C46" s="197" t="s">
        <v>935</v>
      </c>
    </row>
    <row r="47" spans="1:3">
      <c r="A47" s="209"/>
      <c r="B47" s="197" t="s">
        <v>930</v>
      </c>
      <c r="C47" s="197" t="s">
        <v>931</v>
      </c>
    </row>
    <row r="48" spans="1:3">
      <c r="A48" s="551"/>
      <c r="B48" s="197" t="s">
        <v>120</v>
      </c>
      <c r="C48" s="197" t="s">
        <v>932</v>
      </c>
    </row>
    <row r="49" spans="2:3">
      <c r="B49" s="197" t="s">
        <v>20</v>
      </c>
      <c r="C49" s="197" t="s">
        <v>941</v>
      </c>
    </row>
    <row r="50" spans="2:3">
      <c r="B50" s="197" t="s">
        <v>1162</v>
      </c>
      <c r="C50" s="197" t="s">
        <v>937</v>
      </c>
    </row>
    <row r="51" spans="2:3">
      <c r="B51" s="197" t="s">
        <v>599</v>
      </c>
      <c r="C51" s="197" t="s">
        <v>600</v>
      </c>
    </row>
  </sheetData>
  <mergeCells count="1">
    <mergeCell ref="B1:C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7"/>
  <sheetViews>
    <sheetView zoomScale="125" zoomScaleNormal="125" workbookViewId="0">
      <selection activeCell="C3" sqref="C3"/>
    </sheetView>
  </sheetViews>
  <sheetFormatPr baseColWidth="10" defaultColWidth="11.5" defaultRowHeight="15"/>
  <cols>
    <col min="1" max="1" width="6.83203125" customWidth="1"/>
    <col min="2" max="2" width="13" customWidth="1"/>
    <col min="3" max="3" width="15.33203125" customWidth="1"/>
    <col min="4" max="4" width="35.6640625" customWidth="1"/>
    <col min="5" max="5" width="18.83203125" customWidth="1"/>
    <col min="6" max="6" width="24" customWidth="1"/>
    <col min="7" max="7" width="11" style="157" bestFit="1" customWidth="1"/>
    <col min="8" max="8" width="11.5" style="144"/>
    <col min="9" max="9" width="11.5" style="277"/>
    <col min="10" max="10" width="18.5" style="262" bestFit="1" customWidth="1"/>
    <col min="11" max="11" width="20.33203125" customWidth="1"/>
    <col min="12" max="12" width="8.33203125" bestFit="1" customWidth="1"/>
    <col min="13" max="13" width="47.6640625" customWidth="1"/>
    <col min="14" max="14" width="11.6640625" hidden="1" customWidth="1"/>
    <col min="15" max="15" width="12.6640625" hidden="1" customWidth="1"/>
    <col min="16" max="16" width="11" hidden="1" customWidth="1"/>
    <col min="17" max="17" width="12.6640625" hidden="1" customWidth="1"/>
    <col min="18" max="18" width="11.6640625" hidden="1" customWidth="1"/>
    <col min="19" max="19" width="12.5" hidden="1" customWidth="1"/>
    <col min="20" max="20" width="11.6640625" hidden="1" customWidth="1"/>
    <col min="21" max="21" width="11" hidden="1" customWidth="1"/>
    <col min="22" max="23" width="11.6640625" hidden="1" customWidth="1"/>
    <col min="24" max="24" width="13.83203125" hidden="1" customWidth="1"/>
    <col min="25" max="25" width="14.6640625" hidden="1" customWidth="1"/>
  </cols>
  <sheetData>
    <row r="1" spans="1:25" s="306" customFormat="1" ht="111" thickBot="1">
      <c r="A1" s="307"/>
      <c r="B1" s="295" t="s">
        <v>7</v>
      </c>
      <c r="C1" s="295" t="s">
        <v>12</v>
      </c>
      <c r="D1" s="295" t="s">
        <v>3</v>
      </c>
      <c r="E1" s="281" t="s">
        <v>1</v>
      </c>
      <c r="F1" s="281" t="s">
        <v>287</v>
      </c>
      <c r="G1" s="296" t="s">
        <v>64</v>
      </c>
      <c r="H1" s="297" t="s">
        <v>601</v>
      </c>
      <c r="I1" s="297" t="s">
        <v>602</v>
      </c>
      <c r="J1" s="302" t="s">
        <v>187</v>
      </c>
      <c r="K1" s="299" t="s">
        <v>603</v>
      </c>
      <c r="L1" s="300" t="s">
        <v>2</v>
      </c>
      <c r="M1" s="295" t="s">
        <v>604</v>
      </c>
      <c r="N1" s="303" t="s">
        <v>188</v>
      </c>
      <c r="O1" s="304" t="s">
        <v>189</v>
      </c>
      <c r="P1" s="304" t="s">
        <v>190</v>
      </c>
      <c r="Q1" s="304" t="s">
        <v>191</v>
      </c>
      <c r="R1" s="304" t="s">
        <v>192</v>
      </c>
      <c r="S1" s="304" t="s">
        <v>193</v>
      </c>
      <c r="T1" s="304" t="s">
        <v>194</v>
      </c>
      <c r="U1" s="304" t="s">
        <v>195</v>
      </c>
      <c r="V1" s="304" t="s">
        <v>196</v>
      </c>
      <c r="W1" s="303" t="s">
        <v>197</v>
      </c>
      <c r="X1" s="305"/>
      <c r="Y1" s="305"/>
    </row>
    <row r="2" spans="1:25" s="3" customFormat="1" ht="34">
      <c r="A2" s="337"/>
      <c r="B2" s="55" t="s">
        <v>513</v>
      </c>
      <c r="C2" s="320" t="s">
        <v>708</v>
      </c>
      <c r="D2" s="320" t="s">
        <v>517</v>
      </c>
      <c r="E2" s="53" t="s">
        <v>950</v>
      </c>
      <c r="F2" s="53" t="s">
        <v>228</v>
      </c>
      <c r="G2" s="186">
        <v>93.424000000000007</v>
      </c>
      <c r="H2" s="182" t="s">
        <v>518</v>
      </c>
      <c r="I2" s="183" t="s">
        <v>519</v>
      </c>
      <c r="J2" s="54">
        <v>8000</v>
      </c>
      <c r="K2" s="320" t="s">
        <v>19</v>
      </c>
      <c r="L2" s="320" t="s">
        <v>5</v>
      </c>
      <c r="M2" s="320" t="s">
        <v>520</v>
      </c>
      <c r="N2" s="190"/>
      <c r="O2" s="191"/>
      <c r="P2" s="191"/>
      <c r="Q2" s="191"/>
      <c r="R2" s="191"/>
      <c r="S2" s="191"/>
      <c r="T2" s="191"/>
      <c r="U2" s="191"/>
      <c r="V2" s="191"/>
      <c r="W2" s="190"/>
      <c r="X2" s="7"/>
      <c r="Y2" s="7"/>
    </row>
    <row r="3" spans="1:25" s="3" customFormat="1" ht="102">
      <c r="A3" s="337"/>
      <c r="B3" s="55" t="s">
        <v>513</v>
      </c>
      <c r="C3" s="474" t="s">
        <v>1302</v>
      </c>
      <c r="D3" s="206" t="s">
        <v>770</v>
      </c>
      <c r="E3" s="53" t="s">
        <v>706</v>
      </c>
      <c r="F3" s="53" t="s">
        <v>533</v>
      </c>
      <c r="G3" s="186" t="s">
        <v>228</v>
      </c>
      <c r="H3" s="182" t="s">
        <v>273</v>
      </c>
      <c r="I3" s="183" t="s">
        <v>352</v>
      </c>
      <c r="J3" s="54">
        <v>215735</v>
      </c>
      <c r="K3" s="320" t="s">
        <v>19</v>
      </c>
      <c r="L3" s="206" t="s">
        <v>5</v>
      </c>
      <c r="M3" s="206" t="s">
        <v>534</v>
      </c>
      <c r="N3" s="190"/>
      <c r="O3" s="191"/>
      <c r="P3" s="191"/>
      <c r="Q3" s="191"/>
      <c r="R3" s="191"/>
      <c r="S3" s="191"/>
      <c r="T3" s="191"/>
      <c r="U3" s="191"/>
      <c r="V3" s="191"/>
      <c r="W3" s="190"/>
      <c r="X3" s="7"/>
      <c r="Y3" s="7"/>
    </row>
    <row r="4" spans="1:25" s="49" customFormat="1" ht="51">
      <c r="A4" s="102"/>
      <c r="B4" s="45" t="s">
        <v>513</v>
      </c>
      <c r="C4" s="45" t="s">
        <v>423</v>
      </c>
      <c r="D4" s="45" t="s">
        <v>982</v>
      </c>
      <c r="E4" s="46" t="s">
        <v>137</v>
      </c>
      <c r="F4" s="46" t="s">
        <v>480</v>
      </c>
      <c r="G4" s="160" t="s">
        <v>436</v>
      </c>
      <c r="H4" s="103" t="s">
        <v>32</v>
      </c>
      <c r="I4" s="148" t="s">
        <v>39</v>
      </c>
      <c r="J4" s="47">
        <v>175000</v>
      </c>
      <c r="K4" s="45" t="s">
        <v>19</v>
      </c>
      <c r="L4" s="45" t="s">
        <v>5</v>
      </c>
      <c r="M4" s="45" t="s">
        <v>481</v>
      </c>
      <c r="N4" s="45"/>
      <c r="O4" s="48"/>
      <c r="P4" s="48"/>
      <c r="Q4" s="48"/>
      <c r="R4" s="48"/>
      <c r="S4" s="48"/>
      <c r="T4" s="48"/>
      <c r="U4" s="48"/>
      <c r="V4" s="45"/>
      <c r="W4" s="45"/>
      <c r="X4" s="26">
        <f t="shared" ref="X4:X7" si="0">SUM(N4:W4)</f>
        <v>0</v>
      </c>
      <c r="Y4" s="27">
        <f t="shared" ref="Y4:Y7" si="1">X4-J4</f>
        <v>-175000</v>
      </c>
    </row>
    <row r="5" spans="1:25" s="49" customFormat="1" ht="51">
      <c r="A5" s="102"/>
      <c r="B5" s="45" t="s">
        <v>513</v>
      </c>
      <c r="C5" s="45" t="s">
        <v>423</v>
      </c>
      <c r="D5" s="45" t="s">
        <v>982</v>
      </c>
      <c r="E5" s="46" t="s">
        <v>752</v>
      </c>
      <c r="F5" s="335">
        <v>20170466</v>
      </c>
      <c r="G5" s="160" t="s">
        <v>436</v>
      </c>
      <c r="H5" s="103" t="s">
        <v>753</v>
      </c>
      <c r="I5" s="148" t="s">
        <v>36</v>
      </c>
      <c r="J5" s="47">
        <v>175000</v>
      </c>
      <c r="K5" s="45" t="s">
        <v>19</v>
      </c>
      <c r="L5" s="45" t="s">
        <v>5</v>
      </c>
      <c r="M5" s="45" t="s">
        <v>481</v>
      </c>
      <c r="N5" s="48"/>
      <c r="O5" s="48">
        <v>46807</v>
      </c>
      <c r="P5" s="48"/>
      <c r="Q5" s="48">
        <f>9604+491+105+946+57</f>
        <v>11203</v>
      </c>
      <c r="R5" s="48">
        <v>4500</v>
      </c>
      <c r="S5" s="48">
        <f>2590+43900+1500+56000</f>
        <v>103990</v>
      </c>
      <c r="T5" s="48">
        <f>2500+6000</f>
        <v>8500</v>
      </c>
      <c r="U5" s="48"/>
      <c r="V5" s="48"/>
      <c r="W5" s="48"/>
      <c r="X5" s="26">
        <f t="shared" si="0"/>
        <v>175000</v>
      </c>
      <c r="Y5" s="27">
        <f t="shared" si="1"/>
        <v>0</v>
      </c>
    </row>
    <row r="6" spans="1:25" s="49" customFormat="1" ht="46.25" customHeight="1">
      <c r="A6" s="102"/>
      <c r="B6" s="45" t="s">
        <v>513</v>
      </c>
      <c r="C6" s="45" t="s">
        <v>264</v>
      </c>
      <c r="D6" s="45" t="s">
        <v>983</v>
      </c>
      <c r="E6" s="46" t="s">
        <v>489</v>
      </c>
      <c r="F6" s="46" t="s">
        <v>527</v>
      </c>
      <c r="G6" s="160" t="s">
        <v>228</v>
      </c>
      <c r="H6" s="103" t="s">
        <v>267</v>
      </c>
      <c r="I6" s="149" t="s">
        <v>225</v>
      </c>
      <c r="J6" s="47">
        <v>957860</v>
      </c>
      <c r="K6" s="45" t="s">
        <v>19</v>
      </c>
      <c r="L6" s="45" t="s">
        <v>5</v>
      </c>
      <c r="M6" s="45" t="s">
        <v>422</v>
      </c>
      <c r="N6" s="48"/>
      <c r="O6" s="48"/>
      <c r="P6" s="48"/>
      <c r="Q6" s="48"/>
      <c r="R6" s="48"/>
      <c r="S6" s="48"/>
      <c r="T6" s="48"/>
      <c r="U6" s="48"/>
      <c r="V6" s="48"/>
      <c r="W6" s="48"/>
      <c r="X6" s="26"/>
      <c r="Y6" s="27"/>
    </row>
    <row r="7" spans="1:25" s="50" customFormat="1" ht="102">
      <c r="A7" s="102"/>
      <c r="B7" s="44" t="s">
        <v>513</v>
      </c>
      <c r="C7" s="45" t="s">
        <v>397</v>
      </c>
      <c r="D7" s="45" t="s">
        <v>984</v>
      </c>
      <c r="E7" s="46" t="s">
        <v>136</v>
      </c>
      <c r="F7" s="51" t="s">
        <v>754</v>
      </c>
      <c r="G7" s="160">
        <v>93.504999999999995</v>
      </c>
      <c r="H7" s="103" t="s">
        <v>540</v>
      </c>
      <c r="I7" s="148" t="s">
        <v>696</v>
      </c>
      <c r="J7" s="47">
        <v>100000</v>
      </c>
      <c r="K7" s="45" t="s">
        <v>19</v>
      </c>
      <c r="L7" s="45" t="s">
        <v>5</v>
      </c>
      <c r="M7" s="45" t="s">
        <v>522</v>
      </c>
      <c r="N7" s="48"/>
      <c r="O7" s="48">
        <v>192953</v>
      </c>
      <c r="P7" s="48"/>
      <c r="Q7" s="48">
        <v>66311</v>
      </c>
      <c r="R7" s="48">
        <v>18867</v>
      </c>
      <c r="S7" s="48">
        <v>51000</v>
      </c>
      <c r="T7" s="48">
        <v>26140</v>
      </c>
      <c r="U7" s="48">
        <v>5000</v>
      </c>
      <c r="V7" s="48">
        <f>31843</f>
        <v>31843</v>
      </c>
      <c r="W7" s="48">
        <v>57886</v>
      </c>
      <c r="X7" s="26">
        <f t="shared" si="0"/>
        <v>450000</v>
      </c>
      <c r="Y7" s="27">
        <f t="shared" si="1"/>
        <v>350000</v>
      </c>
    </row>
    <row r="8" spans="1:25" s="50" customFormat="1" ht="102">
      <c r="A8" s="102"/>
      <c r="B8" s="45" t="s">
        <v>513</v>
      </c>
      <c r="C8" s="45" t="s">
        <v>397</v>
      </c>
      <c r="D8" s="45" t="s">
        <v>984</v>
      </c>
      <c r="E8" s="46" t="s">
        <v>136</v>
      </c>
      <c r="F8" s="46" t="s">
        <v>515</v>
      </c>
      <c r="G8" s="160">
        <v>93.504999999999995</v>
      </c>
      <c r="H8" s="103" t="s">
        <v>32</v>
      </c>
      <c r="I8" s="148" t="s">
        <v>39</v>
      </c>
      <c r="J8" s="47">
        <v>140000</v>
      </c>
      <c r="K8" s="45" t="s">
        <v>19</v>
      </c>
      <c r="L8" s="45" t="s">
        <v>5</v>
      </c>
      <c r="M8" s="45" t="s">
        <v>522</v>
      </c>
      <c r="N8" s="45"/>
      <c r="O8" s="48">
        <v>90342</v>
      </c>
      <c r="P8" s="48"/>
      <c r="Q8" s="48">
        <v>26700</v>
      </c>
      <c r="R8" s="48"/>
      <c r="S8" s="48">
        <v>3500</v>
      </c>
      <c r="T8" s="48">
        <v>9868</v>
      </c>
      <c r="U8" s="48">
        <v>2800</v>
      </c>
      <c r="V8" s="48">
        <v>6790</v>
      </c>
      <c r="W8" s="48"/>
      <c r="X8" s="26">
        <f>SUM(N8:W8)</f>
        <v>140000</v>
      </c>
      <c r="Y8" s="27">
        <f>X8-J8</f>
        <v>0</v>
      </c>
    </row>
    <row r="9" spans="1:25" s="50" customFormat="1" ht="68">
      <c r="A9" s="102"/>
      <c r="B9" s="44" t="s">
        <v>513</v>
      </c>
      <c r="C9" s="45" t="s">
        <v>255</v>
      </c>
      <c r="D9" s="22" t="s">
        <v>985</v>
      </c>
      <c r="E9" s="46" t="s">
        <v>257</v>
      </c>
      <c r="F9" s="46" t="s">
        <v>437</v>
      </c>
      <c r="G9" s="160">
        <v>93.313999999999993</v>
      </c>
      <c r="H9" s="103" t="s">
        <v>258</v>
      </c>
      <c r="I9" s="149" t="s">
        <v>259</v>
      </c>
      <c r="J9" s="47">
        <v>450000</v>
      </c>
      <c r="K9" s="45" t="s">
        <v>19</v>
      </c>
      <c r="L9" s="45" t="s">
        <v>5</v>
      </c>
      <c r="M9" s="45" t="s">
        <v>521</v>
      </c>
      <c r="N9" s="45"/>
      <c r="O9" s="48">
        <v>90342</v>
      </c>
      <c r="P9" s="48"/>
      <c r="Q9" s="48">
        <v>26700</v>
      </c>
      <c r="R9" s="48"/>
      <c r="S9" s="48">
        <v>3500</v>
      </c>
      <c r="T9" s="48">
        <v>9868</v>
      </c>
      <c r="U9" s="48">
        <v>2800</v>
      </c>
      <c r="V9" s="48">
        <v>6790</v>
      </c>
      <c r="W9" s="48"/>
      <c r="X9" s="26">
        <f>SUM(N9:W9)</f>
        <v>140000</v>
      </c>
      <c r="Y9" s="27">
        <f>X9-J9</f>
        <v>-310000</v>
      </c>
    </row>
    <row r="10" spans="1:25" s="50" customFormat="1" ht="105" customHeight="1">
      <c r="A10" s="102"/>
      <c r="B10" s="45" t="s">
        <v>513</v>
      </c>
      <c r="C10" s="45" t="s">
        <v>264</v>
      </c>
      <c r="D10" s="45" t="s">
        <v>986</v>
      </c>
      <c r="E10" s="46" t="s">
        <v>266</v>
      </c>
      <c r="F10" s="46" t="s">
        <v>527</v>
      </c>
      <c r="G10" s="160" t="s">
        <v>228</v>
      </c>
      <c r="H10" s="103" t="s">
        <v>267</v>
      </c>
      <c r="I10" s="149" t="s">
        <v>225</v>
      </c>
      <c r="J10" s="47">
        <v>508392</v>
      </c>
      <c r="K10" s="45" t="s">
        <v>19</v>
      </c>
      <c r="L10" s="45" t="s">
        <v>5</v>
      </c>
      <c r="M10" s="45" t="s">
        <v>528</v>
      </c>
      <c r="N10" s="45"/>
      <c r="O10" s="48"/>
      <c r="P10" s="48"/>
      <c r="Q10" s="48"/>
      <c r="R10" s="48"/>
      <c r="S10" s="48"/>
      <c r="T10" s="48"/>
      <c r="U10" s="48"/>
      <c r="V10" s="48"/>
      <c r="W10" s="48"/>
      <c r="X10" s="26"/>
      <c r="Y10" s="27"/>
    </row>
    <row r="11" spans="1:25" s="50" customFormat="1" ht="51">
      <c r="A11" s="102"/>
      <c r="B11" s="45" t="s">
        <v>513</v>
      </c>
      <c r="C11" s="45" t="s">
        <v>397</v>
      </c>
      <c r="D11" s="45" t="s">
        <v>396</v>
      </c>
      <c r="E11" s="46" t="s">
        <v>973</v>
      </c>
      <c r="F11" s="46" t="s">
        <v>523</v>
      </c>
      <c r="G11" s="160">
        <v>93.242999999999995</v>
      </c>
      <c r="H11" s="103" t="s">
        <v>47</v>
      </c>
      <c r="I11" s="148" t="s">
        <v>48</v>
      </c>
      <c r="J11" s="47">
        <f>160000*5</f>
        <v>800000</v>
      </c>
      <c r="K11" s="45" t="s">
        <v>19</v>
      </c>
      <c r="L11" s="45" t="s">
        <v>6</v>
      </c>
      <c r="M11" s="45" t="s">
        <v>524</v>
      </c>
      <c r="N11" s="48"/>
      <c r="O11" s="48">
        <v>32223</v>
      </c>
      <c r="P11" s="48"/>
      <c r="Q11" s="48">
        <f>7180+327+116+2521+175</f>
        <v>10319</v>
      </c>
      <c r="R11" s="48"/>
      <c r="S11" s="48">
        <v>78550</v>
      </c>
      <c r="T11" s="48">
        <v>9925</v>
      </c>
      <c r="U11" s="48"/>
      <c r="V11" s="48"/>
      <c r="W11" s="48"/>
      <c r="X11" s="26">
        <f t="shared" ref="X11:X24" si="2">SUM(N11:W11)</f>
        <v>131017</v>
      </c>
      <c r="Y11" s="27">
        <f t="shared" ref="Y11:Y24" si="3">X11-J11</f>
        <v>-668983</v>
      </c>
    </row>
    <row r="12" spans="1:25" s="50" customFormat="1" ht="68">
      <c r="A12" s="102"/>
      <c r="B12" s="44" t="s">
        <v>513</v>
      </c>
      <c r="C12" s="45" t="s">
        <v>1029</v>
      </c>
      <c r="D12" s="45" t="s">
        <v>987</v>
      </c>
      <c r="E12" s="46" t="s">
        <v>975</v>
      </c>
      <c r="F12" s="46" t="s">
        <v>527</v>
      </c>
      <c r="G12" s="160">
        <v>93.424000000000007</v>
      </c>
      <c r="H12" s="103" t="s">
        <v>699</v>
      </c>
      <c r="I12" s="149" t="s">
        <v>698</v>
      </c>
      <c r="J12" s="47">
        <v>30000</v>
      </c>
      <c r="K12" s="45" t="s">
        <v>19</v>
      </c>
      <c r="L12" s="45" t="s">
        <v>5</v>
      </c>
      <c r="M12" s="45" t="s">
        <v>532</v>
      </c>
      <c r="N12" s="48"/>
      <c r="O12" s="48">
        <v>69648</v>
      </c>
      <c r="P12" s="48"/>
      <c r="Q12" s="48">
        <f>15041+761+174+1270+121</f>
        <v>17367</v>
      </c>
      <c r="R12" s="48">
        <v>25500</v>
      </c>
      <c r="S12" s="48">
        <f>3250+81812+4500+18500</f>
        <v>108062</v>
      </c>
      <c r="T12" s="48">
        <f>3250+11750</f>
        <v>15000</v>
      </c>
      <c r="U12" s="48"/>
      <c r="V12" s="48"/>
      <c r="W12" s="48"/>
      <c r="X12" s="26">
        <f t="shared" si="2"/>
        <v>235577</v>
      </c>
      <c r="Y12" s="27">
        <f t="shared" si="3"/>
        <v>205577</v>
      </c>
    </row>
    <row r="13" spans="1:25" s="50" customFormat="1" ht="46.25" customHeight="1">
      <c r="A13" s="102"/>
      <c r="B13" s="45" t="s">
        <v>513</v>
      </c>
      <c r="C13" s="45" t="s">
        <v>418</v>
      </c>
      <c r="D13" s="45" t="s">
        <v>988</v>
      </c>
      <c r="E13" s="46" t="s">
        <v>434</v>
      </c>
      <c r="F13" s="46" t="s">
        <v>435</v>
      </c>
      <c r="G13" s="160" t="s">
        <v>436</v>
      </c>
      <c r="H13" s="103" t="s">
        <v>139</v>
      </c>
      <c r="I13" s="148" t="s">
        <v>225</v>
      </c>
      <c r="J13" s="47">
        <v>131017</v>
      </c>
      <c r="K13" s="45" t="s">
        <v>19</v>
      </c>
      <c r="L13" s="45" t="s">
        <v>5</v>
      </c>
      <c r="M13" s="45" t="s">
        <v>482</v>
      </c>
      <c r="N13" s="48"/>
      <c r="O13" s="48">
        <v>69648</v>
      </c>
      <c r="P13" s="48"/>
      <c r="Q13" s="48">
        <f>15041+761+174+1270+121</f>
        <v>17367</v>
      </c>
      <c r="R13" s="48">
        <v>25500</v>
      </c>
      <c r="S13" s="48">
        <f>3250+81812+4500+18500</f>
        <v>108062</v>
      </c>
      <c r="T13" s="48">
        <f>3250+11750</f>
        <v>15000</v>
      </c>
      <c r="U13" s="48"/>
      <c r="V13" s="48"/>
      <c r="W13" s="48"/>
      <c r="X13" s="26">
        <f t="shared" si="2"/>
        <v>235577</v>
      </c>
      <c r="Y13" s="27">
        <f t="shared" si="3"/>
        <v>104560</v>
      </c>
    </row>
    <row r="14" spans="1:25" s="50" customFormat="1" ht="102">
      <c r="A14" s="102"/>
      <c r="B14" s="45" t="s">
        <v>513</v>
      </c>
      <c r="C14" s="45" t="s">
        <v>991</v>
      </c>
      <c r="D14" s="45" t="s">
        <v>988</v>
      </c>
      <c r="E14" s="46" t="s">
        <v>755</v>
      </c>
      <c r="F14" s="335">
        <v>20180149</v>
      </c>
      <c r="G14" s="160" t="s">
        <v>436</v>
      </c>
      <c r="H14" s="103" t="s">
        <v>756</v>
      </c>
      <c r="I14" s="148" t="s">
        <v>341</v>
      </c>
      <c r="J14" s="47">
        <v>28900</v>
      </c>
      <c r="K14" s="45" t="s">
        <v>19</v>
      </c>
      <c r="L14" s="45" t="s">
        <v>5</v>
      </c>
      <c r="M14" s="45" t="s">
        <v>757</v>
      </c>
      <c r="N14" s="48"/>
      <c r="O14" s="48">
        <v>502665</v>
      </c>
      <c r="P14" s="48"/>
      <c r="Q14" s="48">
        <v>179243</v>
      </c>
      <c r="R14" s="48">
        <v>22875</v>
      </c>
      <c r="S14" s="48">
        <f>6250+4837+17102+5000+9000+3000</f>
        <v>45189</v>
      </c>
      <c r="T14" s="48">
        <v>17028</v>
      </c>
      <c r="U14" s="48">
        <v>8000</v>
      </c>
      <c r="V14" s="48">
        <v>25000</v>
      </c>
      <c r="W14" s="48"/>
      <c r="X14" s="26">
        <f t="shared" si="2"/>
        <v>800000</v>
      </c>
      <c r="Y14" s="27">
        <f t="shared" si="3"/>
        <v>771100</v>
      </c>
    </row>
    <row r="15" spans="1:25" s="50" customFormat="1" ht="102">
      <c r="A15" s="102"/>
      <c r="B15" s="44" t="s">
        <v>513</v>
      </c>
      <c r="C15" s="45" t="s">
        <v>275</v>
      </c>
      <c r="D15" s="45" t="s">
        <v>271</v>
      </c>
      <c r="E15" s="46" t="s">
        <v>272</v>
      </c>
      <c r="F15" s="46" t="s">
        <v>516</v>
      </c>
      <c r="G15" s="160" t="s">
        <v>228</v>
      </c>
      <c r="H15" s="103" t="s">
        <v>273</v>
      </c>
      <c r="I15" s="149" t="s">
        <v>254</v>
      </c>
      <c r="J15" s="47">
        <v>76392</v>
      </c>
      <c r="K15" s="45" t="s">
        <v>19</v>
      </c>
      <c r="L15" s="45" t="s">
        <v>5</v>
      </c>
      <c r="M15" s="45" t="s">
        <v>491</v>
      </c>
      <c r="N15" s="45"/>
      <c r="O15" s="45"/>
      <c r="P15" s="45"/>
      <c r="Q15" s="45"/>
      <c r="R15" s="45"/>
      <c r="S15" s="45"/>
      <c r="T15" s="45"/>
      <c r="U15" s="45"/>
      <c r="V15" s="45"/>
      <c r="W15" s="45"/>
      <c r="X15" s="26">
        <f t="shared" si="2"/>
        <v>0</v>
      </c>
      <c r="Y15" s="27">
        <f t="shared" si="3"/>
        <v>-76392</v>
      </c>
    </row>
    <row r="16" spans="1:25" s="50" customFormat="1" ht="51">
      <c r="A16" s="102"/>
      <c r="B16" s="44" t="s">
        <v>513</v>
      </c>
      <c r="C16" s="45" t="s">
        <v>418</v>
      </c>
      <c r="D16" s="45" t="s">
        <v>138</v>
      </c>
      <c r="E16" s="46" t="s">
        <v>483</v>
      </c>
      <c r="F16" s="335">
        <v>20170471</v>
      </c>
      <c r="G16" s="160" t="s">
        <v>427</v>
      </c>
      <c r="H16" s="103" t="s">
        <v>540</v>
      </c>
      <c r="I16" s="148" t="s">
        <v>696</v>
      </c>
      <c r="J16" s="47">
        <v>235577</v>
      </c>
      <c r="K16" s="45" t="s">
        <v>19</v>
      </c>
      <c r="L16" s="45" t="s">
        <v>5</v>
      </c>
      <c r="M16" s="45" t="s">
        <v>430</v>
      </c>
      <c r="N16" s="45"/>
      <c r="O16" s="45"/>
      <c r="P16" s="45"/>
      <c r="Q16" s="45"/>
      <c r="R16" s="45"/>
      <c r="S16" s="45"/>
      <c r="T16" s="45"/>
      <c r="U16" s="45"/>
      <c r="V16" s="45"/>
      <c r="W16" s="45"/>
      <c r="X16" s="26">
        <f t="shared" si="2"/>
        <v>0</v>
      </c>
      <c r="Y16" s="27">
        <f t="shared" si="3"/>
        <v>-235577</v>
      </c>
    </row>
    <row r="17" spans="1:25" s="50" customFormat="1" ht="92.25" customHeight="1">
      <c r="A17" s="102"/>
      <c r="B17" s="45" t="s">
        <v>513</v>
      </c>
      <c r="C17" s="45" t="s">
        <v>418</v>
      </c>
      <c r="D17" s="45" t="s">
        <v>138</v>
      </c>
      <c r="E17" s="46" t="s">
        <v>483</v>
      </c>
      <c r="F17" s="46" t="s">
        <v>426</v>
      </c>
      <c r="G17" s="160" t="s">
        <v>427</v>
      </c>
      <c r="H17" s="103" t="s">
        <v>32</v>
      </c>
      <c r="I17" s="148" t="s">
        <v>39</v>
      </c>
      <c r="J17" s="47">
        <v>235577</v>
      </c>
      <c r="K17" s="45" t="s">
        <v>19</v>
      </c>
      <c r="L17" s="45" t="s">
        <v>5</v>
      </c>
      <c r="M17" s="45" t="s">
        <v>430</v>
      </c>
      <c r="N17" s="45"/>
      <c r="O17" s="45"/>
      <c r="P17" s="45"/>
      <c r="Q17" s="45"/>
      <c r="R17" s="45"/>
      <c r="S17" s="45"/>
      <c r="T17" s="45"/>
      <c r="U17" s="45"/>
      <c r="V17" s="45"/>
      <c r="W17" s="45"/>
      <c r="X17" s="26"/>
      <c r="Y17" s="27"/>
    </row>
    <row r="18" spans="1:25" s="50" customFormat="1" ht="69" customHeight="1">
      <c r="A18" s="102"/>
      <c r="B18" s="44" t="s">
        <v>513</v>
      </c>
      <c r="C18" s="45" t="s">
        <v>490</v>
      </c>
      <c r="D18" s="45" t="s">
        <v>269</v>
      </c>
      <c r="E18" s="46" t="s">
        <v>701</v>
      </c>
      <c r="F18" s="335">
        <v>20170529</v>
      </c>
      <c r="G18" s="160" t="s">
        <v>228</v>
      </c>
      <c r="H18" s="103" t="s">
        <v>540</v>
      </c>
      <c r="I18" s="149" t="s">
        <v>341</v>
      </c>
      <c r="J18" s="47">
        <v>150000</v>
      </c>
      <c r="K18" s="45" t="s">
        <v>19</v>
      </c>
      <c r="L18" s="45" t="s">
        <v>5</v>
      </c>
      <c r="M18" s="45" t="s">
        <v>529</v>
      </c>
      <c r="N18" s="45"/>
      <c r="O18" s="45"/>
      <c r="P18" s="45"/>
      <c r="Q18" s="45"/>
      <c r="R18" s="45"/>
      <c r="S18" s="45"/>
      <c r="T18" s="45"/>
      <c r="U18" s="45"/>
      <c r="V18" s="45"/>
      <c r="W18" s="45"/>
      <c r="X18" s="26"/>
      <c r="Y18" s="27"/>
    </row>
    <row r="19" spans="1:25" s="50" customFormat="1" ht="69" customHeight="1">
      <c r="A19" s="102"/>
      <c r="B19" s="45" t="s">
        <v>513</v>
      </c>
      <c r="C19" s="45" t="s">
        <v>490</v>
      </c>
      <c r="D19" s="45" t="s">
        <v>269</v>
      </c>
      <c r="E19" s="46" t="s">
        <v>270</v>
      </c>
      <c r="F19" s="46" t="s">
        <v>433</v>
      </c>
      <c r="G19" s="160" t="s">
        <v>228</v>
      </c>
      <c r="H19" s="103" t="s">
        <v>224</v>
      </c>
      <c r="I19" s="149" t="s">
        <v>225</v>
      </c>
      <c r="J19" s="47">
        <v>212681</v>
      </c>
      <c r="K19" s="45" t="s">
        <v>19</v>
      </c>
      <c r="L19" s="45" t="s">
        <v>5</v>
      </c>
      <c r="M19" s="45" t="s">
        <v>529</v>
      </c>
      <c r="N19" s="45"/>
      <c r="O19" s="45"/>
      <c r="P19" s="45"/>
      <c r="Q19" s="45"/>
      <c r="R19" s="45"/>
      <c r="S19" s="45"/>
      <c r="T19" s="45"/>
      <c r="U19" s="45"/>
      <c r="V19" s="45"/>
      <c r="W19" s="45"/>
      <c r="X19" s="26">
        <f t="shared" ref="X19" si="4">SUM(N19:W19)</f>
        <v>0</v>
      </c>
      <c r="Y19" s="27">
        <f t="shared" ref="Y19" si="5">X19-J19</f>
        <v>-212681</v>
      </c>
    </row>
    <row r="20" spans="1:25" s="50" customFormat="1" ht="85">
      <c r="A20" s="102"/>
      <c r="B20" s="44" t="s">
        <v>513</v>
      </c>
      <c r="C20" s="320" t="s">
        <v>697</v>
      </c>
      <c r="D20" s="320" t="s">
        <v>978</v>
      </c>
      <c r="E20" s="53" t="s">
        <v>974</v>
      </c>
      <c r="F20" s="336">
        <v>56820715</v>
      </c>
      <c r="G20" s="186">
        <v>84.325000000000003</v>
      </c>
      <c r="H20" s="182" t="s">
        <v>526</v>
      </c>
      <c r="I20" s="183" t="s">
        <v>263</v>
      </c>
      <c r="J20" s="54">
        <v>151000</v>
      </c>
      <c r="K20" s="45" t="s">
        <v>19</v>
      </c>
      <c r="L20" s="45" t="s">
        <v>5</v>
      </c>
      <c r="M20" s="320" t="s">
        <v>488</v>
      </c>
      <c r="N20" s="45"/>
      <c r="O20" s="45"/>
      <c r="P20" s="45"/>
      <c r="Q20" s="45"/>
      <c r="R20" s="45"/>
      <c r="S20" s="45"/>
      <c r="T20" s="45"/>
      <c r="U20" s="45"/>
      <c r="V20" s="45"/>
      <c r="W20" s="45"/>
      <c r="X20" s="26">
        <f t="shared" si="2"/>
        <v>0</v>
      </c>
      <c r="Y20" s="27">
        <f t="shared" si="3"/>
        <v>-151000</v>
      </c>
    </row>
    <row r="21" spans="1:25" s="50" customFormat="1" ht="80" customHeight="1">
      <c r="A21" s="102"/>
      <c r="B21" s="45" t="s">
        <v>513</v>
      </c>
      <c r="C21" s="320" t="s">
        <v>762</v>
      </c>
      <c r="D21" s="320" t="s">
        <v>990</v>
      </c>
      <c r="E21" s="53" t="s">
        <v>764</v>
      </c>
      <c r="F21" s="53" t="s">
        <v>765</v>
      </c>
      <c r="G21" s="186">
        <v>93.11</v>
      </c>
      <c r="H21" s="182" t="s">
        <v>766</v>
      </c>
      <c r="I21" s="183" t="s">
        <v>767</v>
      </c>
      <c r="J21" s="54">
        <v>10000</v>
      </c>
      <c r="K21" s="45" t="s">
        <v>19</v>
      </c>
      <c r="L21" s="45" t="s">
        <v>5</v>
      </c>
      <c r="M21" s="320" t="s">
        <v>768</v>
      </c>
      <c r="N21" s="45"/>
      <c r="O21" s="45"/>
      <c r="P21" s="45"/>
      <c r="Q21" s="45"/>
      <c r="R21" s="45"/>
      <c r="S21" s="45"/>
      <c r="T21" s="45"/>
      <c r="U21" s="45"/>
      <c r="V21" s="45"/>
      <c r="W21" s="45"/>
      <c r="X21" s="26"/>
      <c r="Y21" s="27"/>
    </row>
    <row r="22" spans="1:25" s="50" customFormat="1" ht="51">
      <c r="A22" s="102"/>
      <c r="B22" s="45" t="s">
        <v>513</v>
      </c>
      <c r="C22" s="320" t="s">
        <v>252</v>
      </c>
      <c r="D22" s="320" t="s">
        <v>980</v>
      </c>
      <c r="E22" s="53" t="s">
        <v>761</v>
      </c>
      <c r="F22" s="53" t="s">
        <v>760</v>
      </c>
      <c r="G22" s="186">
        <v>93.463999999999999</v>
      </c>
      <c r="H22" s="182" t="s">
        <v>753</v>
      </c>
      <c r="I22" s="183" t="s">
        <v>38</v>
      </c>
      <c r="J22" s="54">
        <v>127011</v>
      </c>
      <c r="K22" s="45" t="s">
        <v>19</v>
      </c>
      <c r="L22" s="45" t="s">
        <v>5</v>
      </c>
      <c r="M22" s="320" t="s">
        <v>421</v>
      </c>
      <c r="N22" s="45"/>
      <c r="O22" s="45"/>
      <c r="P22" s="45"/>
      <c r="Q22" s="45"/>
      <c r="R22" s="45"/>
      <c r="S22" s="45"/>
      <c r="T22" s="45"/>
      <c r="U22" s="45"/>
      <c r="V22" s="45"/>
      <c r="W22" s="45"/>
      <c r="X22" s="26">
        <f t="shared" si="2"/>
        <v>0</v>
      </c>
      <c r="Y22" s="27">
        <f t="shared" si="3"/>
        <v>-127011</v>
      </c>
    </row>
    <row r="23" spans="1:25" s="50" customFormat="1" ht="51">
      <c r="A23" s="102"/>
      <c r="B23" s="45" t="s">
        <v>513</v>
      </c>
      <c r="C23" s="320" t="s">
        <v>252</v>
      </c>
      <c r="D23" s="320" t="s">
        <v>981</v>
      </c>
      <c r="E23" s="53" t="s">
        <v>126</v>
      </c>
      <c r="F23" s="53" t="s">
        <v>487</v>
      </c>
      <c r="G23" s="186">
        <v>93.463999999999999</v>
      </c>
      <c r="H23" s="182" t="s">
        <v>32</v>
      </c>
      <c r="I23" s="183" t="s">
        <v>36</v>
      </c>
      <c r="J23" s="54">
        <v>126558</v>
      </c>
      <c r="K23" s="45" t="s">
        <v>19</v>
      </c>
      <c r="L23" s="45" t="s">
        <v>5</v>
      </c>
      <c r="M23" s="320" t="s">
        <v>421</v>
      </c>
      <c r="N23" s="45"/>
      <c r="O23" s="45"/>
      <c r="P23" s="45"/>
      <c r="Q23" s="45"/>
      <c r="R23" s="45"/>
      <c r="S23" s="45"/>
      <c r="T23" s="45"/>
      <c r="U23" s="45"/>
      <c r="V23" s="45"/>
      <c r="W23" s="45"/>
      <c r="X23" s="26">
        <f t="shared" si="2"/>
        <v>0</v>
      </c>
      <c r="Y23" s="27">
        <f t="shared" si="3"/>
        <v>-126558</v>
      </c>
    </row>
    <row r="24" spans="1:25" s="50" customFormat="1" ht="61.5" customHeight="1">
      <c r="A24" s="102"/>
      <c r="B24" s="45" t="s">
        <v>513</v>
      </c>
      <c r="C24" s="206" t="s">
        <v>276</v>
      </c>
      <c r="D24" s="206" t="s">
        <v>492</v>
      </c>
      <c r="E24" s="53" t="s">
        <v>951</v>
      </c>
      <c r="F24" s="53" t="s">
        <v>431</v>
      </c>
      <c r="G24" s="186" t="s">
        <v>228</v>
      </c>
      <c r="H24" s="182" t="s">
        <v>425</v>
      </c>
      <c r="I24" s="183" t="s">
        <v>530</v>
      </c>
      <c r="J24" s="54">
        <v>105651</v>
      </c>
      <c r="K24" s="45" t="s">
        <v>19</v>
      </c>
      <c r="L24" s="45" t="s">
        <v>5</v>
      </c>
      <c r="M24" s="206" t="s">
        <v>432</v>
      </c>
      <c r="N24" s="48"/>
      <c r="O24" s="48">
        <v>66688</v>
      </c>
      <c r="P24" s="48"/>
      <c r="Q24" s="48">
        <f>14561+739+174+1462+154</f>
        <v>17090</v>
      </c>
      <c r="R24" s="48">
        <v>21500</v>
      </c>
      <c r="S24" s="48">
        <v>93153</v>
      </c>
      <c r="T24" s="48">
        <v>14250</v>
      </c>
      <c r="U24" s="48"/>
      <c r="V24" s="48"/>
      <c r="W24" s="48"/>
      <c r="X24" s="26">
        <f t="shared" si="2"/>
        <v>212681</v>
      </c>
      <c r="Y24" s="27">
        <f t="shared" si="3"/>
        <v>107030</v>
      </c>
    </row>
    <row r="25" spans="1:25" s="50" customFormat="1" ht="102">
      <c r="A25" s="102"/>
      <c r="B25" s="44" t="s">
        <v>513</v>
      </c>
      <c r="C25" s="206" t="s">
        <v>276</v>
      </c>
      <c r="D25" s="206" t="s">
        <v>492</v>
      </c>
      <c r="E25" s="53" t="s">
        <v>953</v>
      </c>
      <c r="F25" s="53" t="s">
        <v>769</v>
      </c>
      <c r="G25" s="186" t="s">
        <v>228</v>
      </c>
      <c r="H25" s="182" t="s">
        <v>644</v>
      </c>
      <c r="I25" s="183" t="s">
        <v>705</v>
      </c>
      <c r="J25" s="54">
        <v>105651</v>
      </c>
      <c r="K25" s="45" t="s">
        <v>19</v>
      </c>
      <c r="L25" s="45" t="s">
        <v>5</v>
      </c>
      <c r="M25" s="206" t="s">
        <v>432</v>
      </c>
      <c r="N25" s="48"/>
      <c r="O25" s="48">
        <v>25345</v>
      </c>
      <c r="P25" s="48"/>
      <c r="Q25" s="48">
        <v>6671</v>
      </c>
      <c r="R25" s="48">
        <v>22926</v>
      </c>
      <c r="S25" s="48">
        <v>18950</v>
      </c>
      <c r="T25" s="48">
        <v>2500</v>
      </c>
      <c r="U25" s="48"/>
      <c r="V25" s="48"/>
      <c r="W25" s="48"/>
      <c r="X25" s="26">
        <f>SUM(N25:W25)</f>
        <v>76392</v>
      </c>
      <c r="Y25" s="27">
        <f>X25-J25</f>
        <v>-29259</v>
      </c>
    </row>
    <row r="26" spans="1:25" s="50" customFormat="1" ht="85">
      <c r="A26" s="102"/>
      <c r="B26" s="44" t="s">
        <v>513</v>
      </c>
      <c r="C26" s="52" t="s">
        <v>484</v>
      </c>
      <c r="D26" s="52" t="s">
        <v>977</v>
      </c>
      <c r="E26" s="53" t="s">
        <v>979</v>
      </c>
      <c r="F26" s="53" t="s">
        <v>485</v>
      </c>
      <c r="G26" s="186">
        <v>93.251000000000005</v>
      </c>
      <c r="H26" s="182" t="s">
        <v>260</v>
      </c>
      <c r="I26" s="183" t="s">
        <v>261</v>
      </c>
      <c r="J26" s="54">
        <v>1506173</v>
      </c>
      <c r="K26" s="45" t="s">
        <v>19</v>
      </c>
      <c r="L26" s="45" t="s">
        <v>5</v>
      </c>
      <c r="M26" s="52" t="s">
        <v>525</v>
      </c>
      <c r="N26" s="48"/>
      <c r="O26" s="48">
        <v>29345</v>
      </c>
      <c r="P26" s="48"/>
      <c r="Q26" s="48">
        <v>7258</v>
      </c>
      <c r="R26" s="48">
        <v>43270</v>
      </c>
      <c r="S26" s="48">
        <v>18778</v>
      </c>
      <c r="T26" s="48">
        <v>7000</v>
      </c>
      <c r="U26" s="48"/>
      <c r="V26" s="48"/>
      <c r="W26" s="48"/>
      <c r="X26" s="26">
        <f t="shared" ref="X26:X28" si="6">SUM(N26:W26)</f>
        <v>105651</v>
      </c>
      <c r="Y26" s="27">
        <f t="shared" ref="Y26:Y28" si="7">X26-J26</f>
        <v>-1400522</v>
      </c>
    </row>
    <row r="27" spans="1:25" s="50" customFormat="1" ht="92.25" customHeight="1">
      <c r="A27" s="102"/>
      <c r="B27" s="45" t="s">
        <v>513</v>
      </c>
      <c r="C27" s="320" t="s">
        <v>249</v>
      </c>
      <c r="D27" s="320" t="s">
        <v>989</v>
      </c>
      <c r="E27" s="53" t="s">
        <v>707</v>
      </c>
      <c r="F27" s="53" t="s">
        <v>127</v>
      </c>
      <c r="G27" s="186">
        <v>93.632000000000005</v>
      </c>
      <c r="H27" s="182" t="s">
        <v>258</v>
      </c>
      <c r="I27" s="260" t="s">
        <v>41</v>
      </c>
      <c r="J27" s="54">
        <v>2735000</v>
      </c>
      <c r="K27" s="45" t="s">
        <v>19</v>
      </c>
      <c r="L27" s="45" t="s">
        <v>5</v>
      </c>
      <c r="M27" s="320" t="s">
        <v>486</v>
      </c>
      <c r="N27" s="48"/>
      <c r="O27" s="48">
        <v>29345</v>
      </c>
      <c r="P27" s="48"/>
      <c r="Q27" s="48">
        <v>7258</v>
      </c>
      <c r="R27" s="48">
        <v>43270</v>
      </c>
      <c r="S27" s="48">
        <v>18778</v>
      </c>
      <c r="T27" s="48">
        <v>7000</v>
      </c>
      <c r="U27" s="48"/>
      <c r="V27" s="48"/>
      <c r="W27" s="48"/>
      <c r="X27" s="26">
        <f t="shared" si="6"/>
        <v>105651</v>
      </c>
      <c r="Y27" s="27">
        <f t="shared" si="7"/>
        <v>-2629349</v>
      </c>
    </row>
    <row r="28" spans="1:25" s="50" customFormat="1" ht="103" thickBot="1">
      <c r="A28" s="102"/>
      <c r="B28" s="320" t="s">
        <v>513</v>
      </c>
      <c r="C28" s="320" t="s">
        <v>249</v>
      </c>
      <c r="D28" s="320" t="s">
        <v>989</v>
      </c>
      <c r="E28" s="53" t="s">
        <v>707</v>
      </c>
      <c r="F28" s="53" t="s">
        <v>758</v>
      </c>
      <c r="G28" s="186">
        <v>93.632000000000005</v>
      </c>
      <c r="H28" s="182" t="s">
        <v>73</v>
      </c>
      <c r="I28" s="260" t="s">
        <v>759</v>
      </c>
      <c r="J28" s="54">
        <v>2850000</v>
      </c>
      <c r="K28" s="45" t="s">
        <v>19</v>
      </c>
      <c r="L28" s="320" t="s">
        <v>5</v>
      </c>
      <c r="M28" s="320" t="s">
        <v>486</v>
      </c>
      <c r="N28" s="48"/>
      <c r="O28" s="48"/>
      <c r="P28" s="48"/>
      <c r="Q28" s="48"/>
      <c r="R28" s="48"/>
      <c r="S28" s="48">
        <f>9540*2</f>
        <v>19080</v>
      </c>
      <c r="T28" s="48">
        <f>460*2</f>
        <v>920</v>
      </c>
      <c r="U28" s="48"/>
      <c r="V28" s="48"/>
      <c r="W28" s="48"/>
      <c r="X28" s="26">
        <f t="shared" si="6"/>
        <v>20000</v>
      </c>
      <c r="Y28" s="27">
        <f t="shared" si="7"/>
        <v>-2830000</v>
      </c>
    </row>
    <row r="29" spans="1:25" s="28" customFormat="1" ht="29" customHeight="1" thickTop="1">
      <c r="B29" s="29"/>
      <c r="C29" s="29"/>
      <c r="D29" s="29"/>
      <c r="E29" s="29"/>
      <c r="F29" s="29"/>
      <c r="G29" s="188"/>
      <c r="H29" s="42"/>
      <c r="I29" s="274"/>
      <c r="J29" s="440">
        <f>SUM(J2:J28)</f>
        <v>12347175</v>
      </c>
      <c r="K29" s="29"/>
      <c r="L29" s="29"/>
      <c r="M29" s="29"/>
      <c r="N29" s="29"/>
      <c r="O29" s="29"/>
      <c r="P29" s="29"/>
      <c r="Q29" s="29"/>
    </row>
    <row r="30" spans="1:25" ht="31" customHeight="1">
      <c r="B30" s="811"/>
      <c r="C30" s="811"/>
      <c r="D30" s="811"/>
      <c r="H30" s="185"/>
      <c r="I30" s="275"/>
      <c r="J30" s="276"/>
    </row>
    <row r="31" spans="1:25">
      <c r="H31" s="185"/>
      <c r="I31" s="275"/>
      <c r="J31" s="276"/>
    </row>
    <row r="32" spans="1:25">
      <c r="H32" s="185"/>
      <c r="I32" s="275"/>
      <c r="J32" s="276"/>
    </row>
    <row r="33" spans="10:10">
      <c r="J33" s="276"/>
    </row>
    <row r="34" spans="10:10">
      <c r="J34" s="276"/>
    </row>
    <row r="35" spans="10:10">
      <c r="J35" s="276"/>
    </row>
    <row r="36" spans="10:10">
      <c r="J36" s="276"/>
    </row>
    <row r="37" spans="10:10">
      <c r="J37" s="276"/>
    </row>
  </sheetData>
  <sortState xmlns:xlrd2="http://schemas.microsoft.com/office/spreadsheetml/2017/richdata2" ref="B2:M28">
    <sortCondition ref="D2:D28"/>
    <sortCondition ref="E2:E28"/>
  </sortState>
  <mergeCells count="1">
    <mergeCell ref="B30:D30"/>
  </mergeCells>
  <pageMargins left="0.75" right="0.75" top="1" bottom="1" header="0.5" footer="0.5"/>
  <pageSetup paperSize="9" scale="55" fitToHeight="0"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
  <sheetViews>
    <sheetView zoomScale="125" zoomScaleNormal="125" workbookViewId="0">
      <selection activeCell="J4" sqref="J4"/>
    </sheetView>
  </sheetViews>
  <sheetFormatPr baseColWidth="10" defaultColWidth="10.83203125" defaultRowHeight="16"/>
  <cols>
    <col min="1" max="1" width="5" style="25" customWidth="1"/>
    <col min="2" max="2" width="7.5" style="25" bestFit="1" customWidth="1"/>
    <col min="3" max="3" width="18.83203125" style="25" customWidth="1"/>
    <col min="4" max="4" width="35.5" style="25" customWidth="1"/>
    <col min="5" max="5" width="14.5" style="25" bestFit="1" customWidth="1"/>
    <col min="6" max="6" width="17.1640625" style="25" bestFit="1" customWidth="1"/>
    <col min="7" max="7" width="7" style="13" bestFit="1" customWidth="1"/>
    <col min="8" max="9" width="10.83203125" style="140"/>
    <col min="10" max="10" width="14.5" style="25" bestFit="1" customWidth="1"/>
    <col min="11" max="11" width="16.1640625" style="25" customWidth="1"/>
    <col min="12" max="12" width="8.1640625" style="25" bestFit="1" customWidth="1"/>
    <col min="13" max="13" width="51.83203125" style="25" customWidth="1"/>
    <col min="14" max="14" width="11.6640625" style="25" hidden="1" customWidth="1"/>
    <col min="15" max="15" width="12.6640625" style="25" hidden="1" customWidth="1"/>
    <col min="16" max="16" width="0" style="25" hidden="1" customWidth="1"/>
    <col min="17" max="19" width="11.6640625" style="25" hidden="1" customWidth="1"/>
    <col min="20" max="21" width="11" style="25" hidden="1" customWidth="1"/>
    <col min="22" max="23" width="0" style="25" hidden="1" customWidth="1"/>
    <col min="24" max="24" width="12.6640625" style="25" hidden="1" customWidth="1"/>
    <col min="25" max="26" width="0" style="25" hidden="1" customWidth="1"/>
    <col min="27" max="16384" width="10.83203125" style="25"/>
  </cols>
  <sheetData>
    <row r="1" spans="1:25" s="306" customFormat="1" ht="111" thickBot="1">
      <c r="A1" s="307"/>
      <c r="B1" s="295" t="s">
        <v>7</v>
      </c>
      <c r="C1" s="295" t="s">
        <v>12</v>
      </c>
      <c r="D1" s="295" t="s">
        <v>3</v>
      </c>
      <c r="E1" s="281" t="s">
        <v>1</v>
      </c>
      <c r="F1" s="281" t="s">
        <v>287</v>
      </c>
      <c r="G1" s="296" t="s">
        <v>64</v>
      </c>
      <c r="H1" s="297" t="s">
        <v>601</v>
      </c>
      <c r="I1" s="297" t="s">
        <v>602</v>
      </c>
      <c r="J1" s="302" t="s">
        <v>187</v>
      </c>
      <c r="K1" s="299" t="s">
        <v>603</v>
      </c>
      <c r="L1" s="300" t="s">
        <v>2</v>
      </c>
      <c r="M1" s="295" t="s">
        <v>604</v>
      </c>
      <c r="N1" s="303" t="s">
        <v>188</v>
      </c>
      <c r="O1" s="304" t="s">
        <v>189</v>
      </c>
      <c r="P1" s="304" t="s">
        <v>190</v>
      </c>
      <c r="Q1" s="304" t="s">
        <v>191</v>
      </c>
      <c r="R1" s="304" t="s">
        <v>192</v>
      </c>
      <c r="S1" s="304" t="s">
        <v>193</v>
      </c>
      <c r="T1" s="304" t="s">
        <v>194</v>
      </c>
      <c r="U1" s="304" t="s">
        <v>195</v>
      </c>
      <c r="V1" s="304" t="s">
        <v>196</v>
      </c>
      <c r="W1" s="303" t="s">
        <v>197</v>
      </c>
      <c r="X1" s="305"/>
      <c r="Y1" s="305"/>
    </row>
    <row r="2" spans="1:25" s="3" customFormat="1" ht="119">
      <c r="A2" s="31"/>
      <c r="B2" s="257" t="s">
        <v>17</v>
      </c>
      <c r="C2" s="257" t="s">
        <v>397</v>
      </c>
      <c r="D2" s="121" t="s">
        <v>493</v>
      </c>
      <c r="E2" s="319" t="s">
        <v>443</v>
      </c>
      <c r="F2" s="319" t="s">
        <v>444</v>
      </c>
      <c r="G2" s="161"/>
      <c r="H2" s="193" t="s">
        <v>540</v>
      </c>
      <c r="I2" s="137" t="s">
        <v>36</v>
      </c>
      <c r="J2" s="258">
        <v>25000</v>
      </c>
      <c r="K2" s="257" t="s">
        <v>512</v>
      </c>
      <c r="L2" s="121" t="s">
        <v>5</v>
      </c>
      <c r="M2" s="121" t="s">
        <v>514</v>
      </c>
      <c r="N2" s="190"/>
      <c r="O2" s="191"/>
      <c r="P2" s="191"/>
      <c r="Q2" s="191"/>
      <c r="R2" s="191"/>
      <c r="S2" s="191"/>
      <c r="T2" s="191"/>
      <c r="U2" s="191"/>
      <c r="V2" s="191"/>
      <c r="W2" s="190"/>
      <c r="X2" s="7"/>
      <c r="Y2" s="7"/>
    </row>
    <row r="3" spans="1:25" s="63" customFormat="1" ht="108" customHeight="1" thickBot="1">
      <c r="A3" s="57"/>
      <c r="B3" s="58" t="s">
        <v>17</v>
      </c>
      <c r="C3" s="59" t="s">
        <v>406</v>
      </c>
      <c r="D3" s="59" t="s">
        <v>140</v>
      </c>
      <c r="E3" s="60" t="s">
        <v>78</v>
      </c>
      <c r="F3" s="60" t="s">
        <v>407</v>
      </c>
      <c r="G3" s="162">
        <v>16.526</v>
      </c>
      <c r="H3" s="166" t="s">
        <v>28</v>
      </c>
      <c r="I3" s="178" t="s">
        <v>350</v>
      </c>
      <c r="J3" s="61">
        <v>300000</v>
      </c>
      <c r="K3" s="259" t="s">
        <v>512</v>
      </c>
      <c r="L3" s="98" t="s">
        <v>6</v>
      </c>
      <c r="M3" s="98" t="s">
        <v>499</v>
      </c>
      <c r="N3" s="62"/>
      <c r="O3" s="62">
        <v>22566.400000000001</v>
      </c>
      <c r="P3" s="62"/>
      <c r="Q3" s="62">
        <v>1508.28</v>
      </c>
      <c r="R3" s="62"/>
      <c r="S3" s="62"/>
      <c r="T3" s="62">
        <v>925.32</v>
      </c>
      <c r="U3" s="62"/>
      <c r="V3" s="62"/>
      <c r="W3" s="62"/>
      <c r="X3" s="26">
        <f t="shared" ref="X3" si="0">SUM(N3:W3)</f>
        <v>25000</v>
      </c>
      <c r="Y3" s="27">
        <f t="shared" ref="Y3" si="1">X3-J3</f>
        <v>-275000</v>
      </c>
    </row>
    <row r="4" spans="1:25" ht="32" customHeight="1" thickTop="1">
      <c r="B4" s="812"/>
      <c r="C4" s="812"/>
      <c r="D4" s="812"/>
      <c r="E4" s="812"/>
      <c r="F4" s="812"/>
      <c r="G4" s="812"/>
      <c r="H4" s="812"/>
      <c r="I4" s="812"/>
      <c r="J4" s="440">
        <f>SUM(J2:J3)</f>
        <v>325000</v>
      </c>
    </row>
    <row r="5" spans="1:25" ht="25">
      <c r="B5" s="811"/>
      <c r="C5" s="811"/>
      <c r="D5" s="811"/>
    </row>
  </sheetData>
  <sortState xmlns:xlrd2="http://schemas.microsoft.com/office/spreadsheetml/2017/richdata2" ref="B2:M3">
    <sortCondition ref="D2:D3"/>
  </sortState>
  <mergeCells count="2">
    <mergeCell ref="B4:I4"/>
    <mergeCell ref="B5:D5"/>
  </mergeCells>
  <pageMargins left="0.75" right="0.75" top="1" bottom="1" header="0.5" footer="0.5"/>
  <pageSetup paperSize="9" scale="57" fitToHeight="0"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1048374"/>
  <sheetViews>
    <sheetView topLeftCell="A72" zoomScale="125" zoomScaleNormal="125" workbookViewId="0">
      <selection activeCell="B51" sqref="B1:B1048576"/>
    </sheetView>
  </sheetViews>
  <sheetFormatPr baseColWidth="10" defaultColWidth="10.83203125" defaultRowHeight="16"/>
  <cols>
    <col min="1" max="1" width="4.1640625" style="2" customWidth="1"/>
    <col min="2" max="2" width="7.6640625" style="346" customWidth="1"/>
    <col min="3" max="3" width="13.5" style="431" customWidth="1"/>
    <col min="4" max="4" width="29.83203125" style="5" customWidth="1"/>
    <col min="5" max="5" width="23.33203125" style="2" customWidth="1"/>
    <col min="6" max="6" width="23.5" style="2" bestFit="1" customWidth="1"/>
    <col min="7" max="7" width="7.1640625" style="177" bestFit="1" customWidth="1"/>
    <col min="8" max="8" width="9.33203125" style="173" bestFit="1" customWidth="1"/>
    <col min="9" max="9" width="10.33203125" style="270" bestFit="1" customWidth="1"/>
    <col min="10" max="10" width="19.6640625" style="2" customWidth="1"/>
    <col min="11" max="11" width="23" style="2" bestFit="1" customWidth="1"/>
    <col min="12" max="12" width="10.1640625" style="2" customWidth="1"/>
    <col min="13" max="13" width="49" style="2" customWidth="1"/>
    <col min="14" max="14" width="10.6640625" style="2" hidden="1" customWidth="1"/>
    <col min="15" max="15" width="12.5" style="2" hidden="1" customWidth="1"/>
    <col min="16" max="16" width="9.1640625" style="2" hidden="1" customWidth="1"/>
    <col min="17" max="17" width="11.6640625" style="2" hidden="1" customWidth="1"/>
    <col min="18" max="18" width="15.6640625" style="2" hidden="1" customWidth="1"/>
    <col min="19" max="19" width="16.5" style="2" hidden="1" customWidth="1"/>
    <col min="20" max="21" width="11.6640625" style="2" hidden="1" customWidth="1"/>
    <col min="22" max="22" width="10.6640625" style="2" hidden="1" customWidth="1"/>
    <col min="23" max="24" width="11.6640625" style="2" hidden="1" customWidth="1"/>
    <col min="25" max="25" width="18.33203125" style="2" customWidth="1"/>
    <col min="26" max="16384" width="10.83203125" style="2"/>
  </cols>
  <sheetData>
    <row r="1" spans="1:31" ht="17" thickBot="1"/>
    <row r="2" spans="1:31" s="306" customFormat="1" ht="109">
      <c r="A2" s="307"/>
      <c r="B2" s="402" t="s">
        <v>7</v>
      </c>
      <c r="C2" s="387" t="s">
        <v>12</v>
      </c>
      <c r="D2" s="387" t="s">
        <v>3</v>
      </c>
      <c r="E2" s="381" t="s">
        <v>1</v>
      </c>
      <c r="F2" s="381" t="s">
        <v>287</v>
      </c>
      <c r="G2" s="382" t="s">
        <v>64</v>
      </c>
      <c r="H2" s="383" t="s">
        <v>601</v>
      </c>
      <c r="I2" s="475" t="s">
        <v>602</v>
      </c>
      <c r="J2" s="384" t="s">
        <v>187</v>
      </c>
      <c r="K2" s="385" t="s">
        <v>603</v>
      </c>
      <c r="L2" s="386" t="s">
        <v>2</v>
      </c>
      <c r="M2" s="387" t="s">
        <v>604</v>
      </c>
      <c r="N2" s="303" t="s">
        <v>188</v>
      </c>
      <c r="O2" s="304" t="s">
        <v>189</v>
      </c>
      <c r="P2" s="304" t="s">
        <v>190</v>
      </c>
      <c r="Q2" s="304" t="s">
        <v>191</v>
      </c>
      <c r="R2" s="304" t="s">
        <v>192</v>
      </c>
      <c r="S2" s="304" t="s">
        <v>193</v>
      </c>
      <c r="T2" s="304" t="s">
        <v>194</v>
      </c>
      <c r="U2" s="304" t="s">
        <v>195</v>
      </c>
      <c r="V2" s="304" t="s">
        <v>196</v>
      </c>
      <c r="W2" s="303" t="s">
        <v>197</v>
      </c>
      <c r="X2" s="305"/>
      <c r="Y2" s="305"/>
    </row>
    <row r="3" spans="1:31" s="3" customFormat="1" ht="119">
      <c r="A3" s="31"/>
      <c r="B3" s="399" t="s">
        <v>1053</v>
      </c>
      <c r="C3" s="22" t="s">
        <v>862</v>
      </c>
      <c r="D3" s="22" t="s">
        <v>1038</v>
      </c>
      <c r="E3" s="21" t="s">
        <v>863</v>
      </c>
      <c r="F3" s="21" t="s">
        <v>864</v>
      </c>
      <c r="G3" s="176">
        <v>10.5</v>
      </c>
      <c r="H3" s="175">
        <v>43009</v>
      </c>
      <c r="I3" s="192">
        <v>43373</v>
      </c>
      <c r="J3" s="273">
        <v>22500</v>
      </c>
      <c r="K3" s="21" t="s">
        <v>865</v>
      </c>
      <c r="L3" s="21" t="s">
        <v>0</v>
      </c>
      <c r="M3" s="86" t="s">
        <v>866</v>
      </c>
      <c r="N3" s="190"/>
      <c r="O3" s="191"/>
      <c r="P3" s="191"/>
      <c r="Q3" s="191"/>
      <c r="R3" s="191"/>
      <c r="S3" s="191"/>
      <c r="T3" s="191"/>
      <c r="U3" s="191"/>
      <c r="V3" s="191"/>
      <c r="W3" s="190"/>
      <c r="X3" s="7"/>
      <c r="Y3" s="7"/>
    </row>
    <row r="4" spans="1:31" s="50" customFormat="1" ht="68">
      <c r="A4" s="43"/>
      <c r="B4" s="399" t="s">
        <v>1053</v>
      </c>
      <c r="C4" s="22" t="s">
        <v>892</v>
      </c>
      <c r="D4" s="22" t="s">
        <v>1039</v>
      </c>
      <c r="E4" s="21" t="s">
        <v>893</v>
      </c>
      <c r="F4" s="21" t="s">
        <v>894</v>
      </c>
      <c r="G4" s="176" t="s">
        <v>885</v>
      </c>
      <c r="H4" s="175">
        <v>43259</v>
      </c>
      <c r="I4" s="192">
        <v>43373</v>
      </c>
      <c r="J4" s="273">
        <v>341390</v>
      </c>
      <c r="K4" s="21" t="s">
        <v>895</v>
      </c>
      <c r="L4" s="21" t="s">
        <v>0</v>
      </c>
      <c r="M4" s="86" t="s">
        <v>896</v>
      </c>
      <c r="N4" s="68"/>
      <c r="O4" s="68">
        <v>11100</v>
      </c>
      <c r="P4" s="68"/>
      <c r="Q4" s="68">
        <v>2775</v>
      </c>
      <c r="R4" s="68">
        <f>3446</f>
        <v>3446</v>
      </c>
      <c r="S4" s="68"/>
      <c r="T4" s="68">
        <v>861</v>
      </c>
      <c r="U4" s="68"/>
      <c r="V4" s="68"/>
      <c r="W4" s="68">
        <v>1818</v>
      </c>
      <c r="X4" s="26">
        <f t="shared" ref="X4:X26" si="0">SUM(N4:W4)</f>
        <v>20000</v>
      </c>
      <c r="Y4" s="27">
        <f t="shared" ref="Y4:Y26" si="1">X4-J4</f>
        <v>-321390</v>
      </c>
    </row>
    <row r="5" spans="1:31" s="63" customFormat="1" ht="51">
      <c r="A5" s="57"/>
      <c r="B5" s="358" t="s">
        <v>0</v>
      </c>
      <c r="C5" s="71" t="s">
        <v>345</v>
      </c>
      <c r="D5" s="71" t="s">
        <v>1173</v>
      </c>
      <c r="E5" s="70" t="s">
        <v>351</v>
      </c>
      <c r="F5" s="71" t="s">
        <v>346</v>
      </c>
      <c r="G5" s="393">
        <v>10.025</v>
      </c>
      <c r="H5" s="394" t="s">
        <v>347</v>
      </c>
      <c r="I5" s="142" t="s">
        <v>352</v>
      </c>
      <c r="J5" s="72">
        <v>45000</v>
      </c>
      <c r="K5" s="70" t="s">
        <v>61</v>
      </c>
      <c r="L5" s="71" t="s">
        <v>6</v>
      </c>
      <c r="M5" s="71" t="s">
        <v>353</v>
      </c>
      <c r="N5" s="62"/>
      <c r="O5" s="62">
        <v>11200</v>
      </c>
      <c r="P5" s="62"/>
      <c r="Q5" s="62">
        <v>2800</v>
      </c>
      <c r="R5" s="62">
        <v>3768</v>
      </c>
      <c r="S5" s="62"/>
      <c r="T5" s="62">
        <v>906</v>
      </c>
      <c r="U5" s="62"/>
      <c r="V5" s="62"/>
      <c r="W5" s="62">
        <v>1867</v>
      </c>
      <c r="X5" s="26">
        <f t="shared" si="0"/>
        <v>20541</v>
      </c>
      <c r="Y5" s="27">
        <f t="shared" si="1"/>
        <v>-24459</v>
      </c>
    </row>
    <row r="6" spans="1:31" s="63" customFormat="1" ht="51">
      <c r="A6" s="57"/>
      <c r="B6" s="399" t="s">
        <v>1053</v>
      </c>
      <c r="C6" s="22" t="s">
        <v>870</v>
      </c>
      <c r="D6" s="22" t="s">
        <v>1040</v>
      </c>
      <c r="E6" s="21" t="s">
        <v>880</v>
      </c>
      <c r="F6" s="21" t="s">
        <v>881</v>
      </c>
      <c r="G6" s="176">
        <v>93.043000000000006</v>
      </c>
      <c r="H6" s="175">
        <v>43048</v>
      </c>
      <c r="I6" s="192">
        <v>43738</v>
      </c>
      <c r="J6" s="273">
        <v>49161</v>
      </c>
      <c r="K6" s="21" t="s">
        <v>840</v>
      </c>
      <c r="L6" s="21" t="s">
        <v>0</v>
      </c>
      <c r="M6" s="86" t="s">
        <v>882</v>
      </c>
      <c r="N6" s="62"/>
      <c r="O6" s="62">
        <v>11750</v>
      </c>
      <c r="P6" s="62"/>
      <c r="Q6" s="62">
        <v>2938</v>
      </c>
      <c r="R6" s="62">
        <v>108</v>
      </c>
      <c r="S6" s="62"/>
      <c r="T6" s="62">
        <v>6000</v>
      </c>
      <c r="U6" s="62"/>
      <c r="V6" s="62"/>
      <c r="W6" s="62">
        <v>3119</v>
      </c>
      <c r="X6" s="26">
        <f t="shared" si="0"/>
        <v>23915</v>
      </c>
      <c r="Y6" s="27">
        <f t="shared" si="1"/>
        <v>-25246</v>
      </c>
    </row>
    <row r="7" spans="1:31" s="63" customFormat="1" ht="68">
      <c r="A7" s="57"/>
      <c r="B7" s="358" t="s">
        <v>0</v>
      </c>
      <c r="C7" s="71" t="s">
        <v>854</v>
      </c>
      <c r="D7" s="71" t="s">
        <v>1014</v>
      </c>
      <c r="E7" s="70" t="s">
        <v>88</v>
      </c>
      <c r="F7" s="70" t="s">
        <v>292</v>
      </c>
      <c r="G7" s="156">
        <v>10.675000000000001</v>
      </c>
      <c r="H7" s="101" t="s">
        <v>43</v>
      </c>
      <c r="I7" s="142" t="s">
        <v>172</v>
      </c>
      <c r="J7" s="72">
        <v>105847</v>
      </c>
      <c r="K7" s="70" t="s">
        <v>8</v>
      </c>
      <c r="L7" s="71" t="s">
        <v>6</v>
      </c>
      <c r="M7" s="71" t="s">
        <v>288</v>
      </c>
      <c r="N7" s="62"/>
      <c r="O7" s="62">
        <v>26028.85</v>
      </c>
      <c r="P7" s="62"/>
      <c r="Q7" s="62">
        <v>2156.15</v>
      </c>
      <c r="R7" s="62">
        <v>33877</v>
      </c>
      <c r="S7" s="62">
        <v>345</v>
      </c>
      <c r="T7" s="62">
        <v>1700</v>
      </c>
      <c r="U7" s="62"/>
      <c r="V7" s="62"/>
      <c r="W7" s="62"/>
      <c r="X7" s="26">
        <f t="shared" si="0"/>
        <v>64107</v>
      </c>
      <c r="Y7" s="27">
        <f t="shared" si="1"/>
        <v>-41740</v>
      </c>
    </row>
    <row r="8" spans="1:31" s="63" customFormat="1" ht="51">
      <c r="A8" s="57"/>
      <c r="B8" s="401" t="s">
        <v>0</v>
      </c>
      <c r="C8" s="45" t="s">
        <v>72</v>
      </c>
      <c r="D8" s="45" t="s">
        <v>1017</v>
      </c>
      <c r="E8" s="102" t="s">
        <v>348</v>
      </c>
      <c r="F8" s="102" t="s">
        <v>349</v>
      </c>
      <c r="G8" s="156">
        <v>10.025</v>
      </c>
      <c r="H8" s="101" t="s">
        <v>308</v>
      </c>
      <c r="I8" s="142" t="s">
        <v>350</v>
      </c>
      <c r="J8" s="129">
        <v>20000</v>
      </c>
      <c r="K8" s="102" t="s">
        <v>61</v>
      </c>
      <c r="L8" s="45" t="s">
        <v>6</v>
      </c>
      <c r="M8" s="45" t="s">
        <v>501</v>
      </c>
      <c r="N8" s="62"/>
      <c r="O8" s="62">
        <v>93218.240000000005</v>
      </c>
      <c r="P8" s="62"/>
      <c r="Q8" s="62">
        <v>27191.78</v>
      </c>
      <c r="R8" s="62">
        <v>3250</v>
      </c>
      <c r="S8" s="62">
        <v>56371</v>
      </c>
      <c r="T8" s="62">
        <v>16541.98</v>
      </c>
      <c r="U8" s="62">
        <v>9000</v>
      </c>
      <c r="V8" s="62"/>
      <c r="W8" s="62">
        <v>17875</v>
      </c>
      <c r="X8" s="26">
        <f t="shared" si="0"/>
        <v>223448.00000000003</v>
      </c>
      <c r="Y8" s="27">
        <f t="shared" si="1"/>
        <v>203448.00000000003</v>
      </c>
    </row>
    <row r="9" spans="1:31" s="63" customFormat="1" ht="51">
      <c r="A9" s="57"/>
      <c r="B9" s="45" t="s">
        <v>1230</v>
      </c>
      <c r="C9" s="45" t="s">
        <v>358</v>
      </c>
      <c r="D9" s="45" t="s">
        <v>1263</v>
      </c>
      <c r="E9" s="401" t="s">
        <v>1297</v>
      </c>
      <c r="F9" s="45"/>
      <c r="G9" s="160">
        <v>10.025</v>
      </c>
      <c r="H9" s="103" t="s">
        <v>1229</v>
      </c>
      <c r="I9" s="103" t="s">
        <v>927</v>
      </c>
      <c r="J9" s="129">
        <v>23252</v>
      </c>
      <c r="K9" s="45" t="s">
        <v>61</v>
      </c>
      <c r="L9" s="45" t="s">
        <v>6</v>
      </c>
      <c r="M9" s="71" t="s">
        <v>1264</v>
      </c>
      <c r="N9" s="62"/>
      <c r="O9" s="62"/>
      <c r="P9" s="62"/>
      <c r="Q9" s="62"/>
      <c r="R9" s="62"/>
      <c r="S9" s="62"/>
      <c r="T9" s="62"/>
      <c r="U9" s="62"/>
      <c r="V9" s="62"/>
      <c r="W9" s="62"/>
      <c r="X9" s="26"/>
      <c r="Y9" s="27"/>
    </row>
    <row r="10" spans="1:31" s="63" customFormat="1" ht="51">
      <c r="A10" s="57"/>
      <c r="B10" s="358" t="s">
        <v>0</v>
      </c>
      <c r="C10" s="71" t="s">
        <v>1227</v>
      </c>
      <c r="D10" s="341" t="s">
        <v>1226</v>
      </c>
      <c r="E10" s="70" t="s">
        <v>171</v>
      </c>
      <c r="F10" s="70" t="s">
        <v>367</v>
      </c>
      <c r="G10" s="156">
        <v>10.025</v>
      </c>
      <c r="H10" s="101" t="s">
        <v>60</v>
      </c>
      <c r="I10" s="142" t="s">
        <v>37</v>
      </c>
      <c r="J10" s="72">
        <v>26205</v>
      </c>
      <c r="K10" s="70" t="s">
        <v>61</v>
      </c>
      <c r="L10" s="71" t="s">
        <v>6</v>
      </c>
      <c r="M10" s="71" t="s">
        <v>368</v>
      </c>
      <c r="N10" s="62"/>
      <c r="O10" s="62">
        <v>7500</v>
      </c>
      <c r="P10" s="62"/>
      <c r="Q10" s="62">
        <v>1875</v>
      </c>
      <c r="R10" s="62">
        <v>575</v>
      </c>
      <c r="S10" s="62"/>
      <c r="T10" s="62">
        <v>1480</v>
      </c>
      <c r="U10" s="62"/>
      <c r="V10" s="62">
        <v>300</v>
      </c>
      <c r="W10" s="62">
        <v>2070</v>
      </c>
      <c r="X10" s="26">
        <f t="shared" si="0"/>
        <v>13800</v>
      </c>
      <c r="Y10" s="27">
        <f t="shared" si="1"/>
        <v>-12405</v>
      </c>
    </row>
    <row r="11" spans="1:31" s="63" customFormat="1" ht="34">
      <c r="A11" s="57"/>
      <c r="B11" s="399" t="s">
        <v>1052</v>
      </c>
      <c r="C11" s="22" t="s">
        <v>598</v>
      </c>
      <c r="D11" s="22" t="s">
        <v>785</v>
      </c>
      <c r="E11" s="598"/>
      <c r="F11" s="21" t="s">
        <v>786</v>
      </c>
      <c r="G11" s="176">
        <v>10.321999999999999</v>
      </c>
      <c r="H11" s="175">
        <v>42248</v>
      </c>
      <c r="I11" s="192">
        <v>43343</v>
      </c>
      <c r="J11" s="273">
        <v>119675</v>
      </c>
      <c r="K11" s="21" t="s">
        <v>787</v>
      </c>
      <c r="L11" s="21"/>
      <c r="M11" s="22" t="s">
        <v>788</v>
      </c>
      <c r="N11" s="62"/>
      <c r="O11" s="62">
        <v>12000</v>
      </c>
      <c r="P11" s="62"/>
      <c r="Q11" s="62">
        <v>3000</v>
      </c>
      <c r="R11" s="62">
        <v>2283</v>
      </c>
      <c r="S11" s="62"/>
      <c r="T11" s="62">
        <v>3672</v>
      </c>
      <c r="U11" s="62"/>
      <c r="V11" s="62"/>
      <c r="W11" s="62">
        <v>2095</v>
      </c>
      <c r="X11" s="26">
        <f t="shared" si="0"/>
        <v>23050</v>
      </c>
      <c r="Y11" s="27">
        <f t="shared" si="1"/>
        <v>-96625</v>
      </c>
    </row>
    <row r="12" spans="1:31" s="63" customFormat="1" ht="34">
      <c r="A12" s="57"/>
      <c r="B12" s="399" t="s">
        <v>1052</v>
      </c>
      <c r="C12" s="22" t="s">
        <v>598</v>
      </c>
      <c r="D12" s="84" t="s">
        <v>789</v>
      </c>
      <c r="E12" s="21" t="s">
        <v>959</v>
      </c>
      <c r="F12" s="21" t="s">
        <v>280</v>
      </c>
      <c r="G12" s="176">
        <v>10.308</v>
      </c>
      <c r="H12" s="175">
        <v>42614</v>
      </c>
      <c r="I12" s="192">
        <v>43708</v>
      </c>
      <c r="J12" s="273">
        <v>150000</v>
      </c>
      <c r="K12" s="21" t="s">
        <v>10</v>
      </c>
      <c r="L12" s="21" t="s">
        <v>0</v>
      </c>
      <c r="M12" s="22" t="s">
        <v>790</v>
      </c>
      <c r="N12" s="62"/>
      <c r="O12" s="62">
        <v>12000</v>
      </c>
      <c r="P12" s="62"/>
      <c r="Q12" s="62">
        <v>3000</v>
      </c>
      <c r="R12" s="62">
        <f>3498+540</f>
        <v>4038</v>
      </c>
      <c r="S12" s="62"/>
      <c r="T12" s="62">
        <v>1035</v>
      </c>
      <c r="U12" s="62"/>
      <c r="V12" s="62"/>
      <c r="W12" s="62">
        <v>2007</v>
      </c>
      <c r="X12" s="26">
        <f t="shared" si="0"/>
        <v>22080</v>
      </c>
      <c r="Y12" s="27">
        <f t="shared" si="1"/>
        <v>-127920</v>
      </c>
    </row>
    <row r="13" spans="1:31" s="63" customFormat="1" ht="34">
      <c r="A13" s="57"/>
      <c r="B13" s="399" t="s">
        <v>1052</v>
      </c>
      <c r="C13" s="22" t="s">
        <v>598</v>
      </c>
      <c r="D13" s="84" t="s">
        <v>789</v>
      </c>
      <c r="E13" s="21" t="s">
        <v>1013</v>
      </c>
      <c r="F13" s="21" t="s">
        <v>279</v>
      </c>
      <c r="G13" s="176">
        <v>10.308</v>
      </c>
      <c r="H13" s="175">
        <v>42614</v>
      </c>
      <c r="I13" s="192">
        <v>43708</v>
      </c>
      <c r="J13" s="273">
        <v>130000</v>
      </c>
      <c r="K13" s="21" t="s">
        <v>10</v>
      </c>
      <c r="L13" s="21" t="s">
        <v>0</v>
      </c>
      <c r="M13" s="22" t="s">
        <v>428</v>
      </c>
      <c r="N13" s="62"/>
      <c r="O13" s="62">
        <f>90400+8000+14898</f>
        <v>113298</v>
      </c>
      <c r="P13" s="62"/>
      <c r="Q13" s="62">
        <f>22600+2000-2795</f>
        <v>21805</v>
      </c>
      <c r="R13" s="62">
        <f>9240+560+5230+3514</f>
        <v>18544</v>
      </c>
      <c r="S13" s="62"/>
      <c r="T13" s="62">
        <f>12334+11483+4355</f>
        <v>28172</v>
      </c>
      <c r="U13" s="62"/>
      <c r="V13" s="62"/>
      <c r="W13" s="62">
        <f>13637+2727+1817</f>
        <v>18181</v>
      </c>
      <c r="X13" s="26">
        <f t="shared" si="0"/>
        <v>200000</v>
      </c>
      <c r="Y13" s="27">
        <f t="shared" si="1"/>
        <v>70000</v>
      </c>
    </row>
    <row r="14" spans="1:31" s="63" customFormat="1" ht="68">
      <c r="A14" s="57"/>
      <c r="B14" s="399" t="s">
        <v>1053</v>
      </c>
      <c r="C14" s="22" t="s">
        <v>854</v>
      </c>
      <c r="D14" s="22" t="s">
        <v>859</v>
      </c>
      <c r="E14" s="21" t="s">
        <v>855</v>
      </c>
      <c r="F14" s="21" t="s">
        <v>856</v>
      </c>
      <c r="G14" s="176">
        <v>10.68</v>
      </c>
      <c r="H14" s="175">
        <v>41122</v>
      </c>
      <c r="I14" s="192">
        <v>42947</v>
      </c>
      <c r="J14" s="273">
        <v>160000</v>
      </c>
      <c r="K14" s="21" t="s">
        <v>857</v>
      </c>
      <c r="L14" s="21" t="s">
        <v>0</v>
      </c>
      <c r="M14" s="86" t="s">
        <v>858</v>
      </c>
      <c r="N14" s="62"/>
      <c r="O14" s="62">
        <v>15000</v>
      </c>
      <c r="P14" s="62"/>
      <c r="Q14" s="62">
        <v>3750</v>
      </c>
      <c r="R14" s="62">
        <v>4073</v>
      </c>
      <c r="S14" s="62"/>
      <c r="T14" s="62">
        <v>1000</v>
      </c>
      <c r="U14" s="62"/>
      <c r="V14" s="62"/>
      <c r="W14" s="62">
        <v>2382</v>
      </c>
      <c r="X14" s="26">
        <f t="shared" si="0"/>
        <v>26205</v>
      </c>
      <c r="Y14" s="27">
        <f t="shared" si="1"/>
        <v>-133795</v>
      </c>
    </row>
    <row r="15" spans="1:31" s="63" customFormat="1" ht="34">
      <c r="A15" s="57"/>
      <c r="B15" s="399" t="s">
        <v>1053</v>
      </c>
      <c r="C15" s="22" t="s">
        <v>854</v>
      </c>
      <c r="D15" s="22" t="s">
        <v>859</v>
      </c>
      <c r="E15" s="21" t="s">
        <v>860</v>
      </c>
      <c r="F15" s="21" t="s">
        <v>861</v>
      </c>
      <c r="G15" s="176">
        <v>10.68</v>
      </c>
      <c r="H15" s="175">
        <v>42948</v>
      </c>
      <c r="I15" s="192">
        <v>43312</v>
      </c>
      <c r="J15" s="273">
        <v>25000</v>
      </c>
      <c r="K15" s="21" t="s">
        <v>857</v>
      </c>
      <c r="L15" s="21" t="s">
        <v>0</v>
      </c>
      <c r="M15" s="87" t="s">
        <v>772</v>
      </c>
      <c r="N15" s="62">
        <v>8500</v>
      </c>
      <c r="O15" s="62"/>
      <c r="P15" s="62"/>
      <c r="Q15" s="62"/>
      <c r="R15" s="62">
        <v>26559</v>
      </c>
      <c r="S15" s="62"/>
      <c r="T15" s="62">
        <v>5441</v>
      </c>
      <c r="U15" s="62"/>
      <c r="V15" s="62"/>
      <c r="W15" s="62">
        <v>4500</v>
      </c>
      <c r="X15" s="26">
        <f t="shared" si="0"/>
        <v>45000</v>
      </c>
      <c r="Y15" s="27">
        <f t="shared" si="1"/>
        <v>20000</v>
      </c>
    </row>
    <row r="16" spans="1:31" s="63" customFormat="1" ht="68">
      <c r="A16" s="57"/>
      <c r="B16" s="358" t="s">
        <v>0</v>
      </c>
      <c r="C16" s="71" t="s">
        <v>345</v>
      </c>
      <c r="D16" s="71" t="s">
        <v>372</v>
      </c>
      <c r="E16" s="70" t="s">
        <v>167</v>
      </c>
      <c r="F16" s="70" t="s">
        <v>373</v>
      </c>
      <c r="G16" s="156">
        <v>10.025</v>
      </c>
      <c r="H16" s="101" t="s">
        <v>89</v>
      </c>
      <c r="I16" s="174" t="s">
        <v>119</v>
      </c>
      <c r="J16" s="72">
        <v>23915</v>
      </c>
      <c r="K16" s="70" t="s">
        <v>179</v>
      </c>
      <c r="L16" s="71" t="s">
        <v>6</v>
      </c>
      <c r="M16" s="71" t="s">
        <v>374</v>
      </c>
      <c r="N16" s="62"/>
      <c r="O16" s="62">
        <v>54000</v>
      </c>
      <c r="P16" s="62"/>
      <c r="Q16" s="62">
        <v>13090</v>
      </c>
      <c r="R16" s="62">
        <v>4734.5</v>
      </c>
      <c r="S16" s="62">
        <v>98000</v>
      </c>
      <c r="T16" s="62">
        <v>26044.33</v>
      </c>
      <c r="U16" s="62"/>
      <c r="V16" s="62"/>
      <c r="W16" s="62">
        <v>17032.07</v>
      </c>
      <c r="X16" s="26">
        <f t="shared" si="0"/>
        <v>212900.90000000002</v>
      </c>
      <c r="Y16" s="27">
        <f t="shared" si="1"/>
        <v>188985.90000000002</v>
      </c>
      <c r="Z16" s="74"/>
      <c r="AA16" s="74"/>
      <c r="AB16" s="74"/>
      <c r="AC16" s="74"/>
      <c r="AD16" s="74"/>
      <c r="AE16" s="74"/>
    </row>
    <row r="17" spans="1:31" s="63" customFormat="1" ht="34">
      <c r="A17" s="57"/>
      <c r="B17" s="399" t="s">
        <v>1053</v>
      </c>
      <c r="C17" s="22" t="s">
        <v>1018</v>
      </c>
      <c r="D17" s="22" t="s">
        <v>887</v>
      </c>
      <c r="E17" s="21" t="s">
        <v>888</v>
      </c>
      <c r="F17" s="21" t="s">
        <v>889</v>
      </c>
      <c r="G17" s="176" t="s">
        <v>885</v>
      </c>
      <c r="H17" s="175">
        <v>43291</v>
      </c>
      <c r="I17" s="192">
        <v>43464</v>
      </c>
      <c r="J17" s="273">
        <v>188500</v>
      </c>
      <c r="K17" s="21" t="s">
        <v>890</v>
      </c>
      <c r="L17" s="21" t="s">
        <v>0</v>
      </c>
      <c r="M17" s="21" t="s">
        <v>891</v>
      </c>
      <c r="N17" s="62"/>
      <c r="O17" s="62">
        <v>6240</v>
      </c>
      <c r="P17" s="62">
        <v>477.36</v>
      </c>
      <c r="Q17" s="62"/>
      <c r="R17" s="62"/>
      <c r="S17" s="62"/>
      <c r="T17" s="62">
        <v>2282.64</v>
      </c>
      <c r="U17" s="62"/>
      <c r="V17" s="62">
        <v>900</v>
      </c>
      <c r="W17" s="62"/>
      <c r="X17" s="26">
        <f t="shared" si="0"/>
        <v>9900</v>
      </c>
      <c r="Y17" s="27">
        <f t="shared" si="1"/>
        <v>-178600</v>
      </c>
      <c r="Z17" s="74"/>
      <c r="AA17" s="74"/>
      <c r="AB17" s="74"/>
      <c r="AC17" s="74"/>
      <c r="AD17" s="74"/>
      <c r="AE17" s="74"/>
    </row>
    <row r="18" spans="1:31" s="63" customFormat="1" ht="68">
      <c r="A18" s="57"/>
      <c r="B18" s="358" t="s">
        <v>1230</v>
      </c>
      <c r="C18" s="107" t="s">
        <v>358</v>
      </c>
      <c r="D18" s="71" t="s">
        <v>1233</v>
      </c>
      <c r="E18" s="73" t="s">
        <v>1236</v>
      </c>
      <c r="F18" s="73" t="s">
        <v>355</v>
      </c>
      <c r="G18" s="156">
        <v>10.025</v>
      </c>
      <c r="H18" s="101" t="s">
        <v>1229</v>
      </c>
      <c r="I18" s="142" t="s">
        <v>927</v>
      </c>
      <c r="J18" s="72">
        <v>23050</v>
      </c>
      <c r="K18" s="71" t="s">
        <v>61</v>
      </c>
      <c r="L18" s="71" t="s">
        <v>6</v>
      </c>
      <c r="M18" s="71" t="s">
        <v>357</v>
      </c>
      <c r="N18" s="62"/>
      <c r="O18" s="62">
        <v>9000</v>
      </c>
      <c r="P18" s="62"/>
      <c r="Q18" s="62">
        <v>675</v>
      </c>
      <c r="R18" s="62">
        <v>3520</v>
      </c>
      <c r="S18" s="62">
        <f>757</f>
        <v>757</v>
      </c>
      <c r="T18" s="62">
        <v>3230</v>
      </c>
      <c r="U18" s="62"/>
      <c r="V18" s="62">
        <v>1000</v>
      </c>
      <c r="W18" s="62">
        <v>1818</v>
      </c>
      <c r="X18" s="26">
        <f t="shared" si="0"/>
        <v>20000</v>
      </c>
      <c r="Y18" s="27">
        <f t="shared" si="1"/>
        <v>-3050</v>
      </c>
    </row>
    <row r="19" spans="1:31" s="63" customFormat="1" ht="68">
      <c r="A19" s="57"/>
      <c r="B19" s="358" t="s">
        <v>1230</v>
      </c>
      <c r="C19" s="71" t="s">
        <v>358</v>
      </c>
      <c r="D19" s="71" t="s">
        <v>1228</v>
      </c>
      <c r="E19" s="70" t="s">
        <v>1237</v>
      </c>
      <c r="F19" s="70" t="s">
        <v>359</v>
      </c>
      <c r="G19" s="156">
        <v>10.025</v>
      </c>
      <c r="H19" s="101" t="s">
        <v>1229</v>
      </c>
      <c r="I19" s="142" t="s">
        <v>927</v>
      </c>
      <c r="J19" s="72">
        <v>20541</v>
      </c>
      <c r="K19" s="70" t="s">
        <v>61</v>
      </c>
      <c r="L19" s="71" t="s">
        <v>6</v>
      </c>
      <c r="M19" s="71" t="s">
        <v>360</v>
      </c>
      <c r="N19" s="62"/>
      <c r="O19" s="62">
        <v>75000</v>
      </c>
      <c r="P19" s="62"/>
      <c r="Q19" s="62">
        <v>11000</v>
      </c>
      <c r="R19" s="62"/>
      <c r="S19" s="62">
        <v>3000</v>
      </c>
      <c r="T19" s="62">
        <v>7290</v>
      </c>
      <c r="U19" s="62">
        <v>65000</v>
      </c>
      <c r="V19" s="62"/>
      <c r="W19" s="62">
        <v>38710</v>
      </c>
      <c r="X19" s="26">
        <f t="shared" si="0"/>
        <v>200000</v>
      </c>
      <c r="Y19" s="27">
        <f t="shared" si="1"/>
        <v>179459</v>
      </c>
    </row>
    <row r="20" spans="1:31" s="63" customFormat="1" ht="68">
      <c r="A20" s="57"/>
      <c r="B20" s="358" t="s">
        <v>1230</v>
      </c>
      <c r="C20" s="107" t="s">
        <v>358</v>
      </c>
      <c r="D20" s="71" t="s">
        <v>1231</v>
      </c>
      <c r="E20" s="73" t="s">
        <v>1238</v>
      </c>
      <c r="F20" s="73" t="s">
        <v>354</v>
      </c>
      <c r="G20" s="156">
        <v>10.025</v>
      </c>
      <c r="H20" s="101" t="s">
        <v>1232</v>
      </c>
      <c r="I20" s="142" t="s">
        <v>729</v>
      </c>
      <c r="J20" s="72">
        <v>22080</v>
      </c>
      <c r="K20" s="71" t="s">
        <v>61</v>
      </c>
      <c r="L20" s="71" t="s">
        <v>6</v>
      </c>
      <c r="M20" s="71" t="s">
        <v>503</v>
      </c>
      <c r="N20" s="62"/>
      <c r="O20" s="62">
        <v>45000</v>
      </c>
      <c r="P20" s="62"/>
      <c r="Q20" s="62">
        <v>3060</v>
      </c>
      <c r="R20" s="62"/>
      <c r="S20" s="62">
        <v>500</v>
      </c>
      <c r="T20" s="62">
        <v>13621</v>
      </c>
      <c r="U20" s="62"/>
      <c r="V20" s="62"/>
      <c r="W20" s="62">
        <v>26550</v>
      </c>
      <c r="X20" s="26">
        <f t="shared" si="0"/>
        <v>88731</v>
      </c>
      <c r="Y20" s="27">
        <f t="shared" si="1"/>
        <v>66651</v>
      </c>
    </row>
    <row r="21" spans="1:31" s="63" customFormat="1" ht="17">
      <c r="A21" s="57"/>
      <c r="B21" s="399" t="s">
        <v>0</v>
      </c>
      <c r="C21" s="22" t="s">
        <v>13</v>
      </c>
      <c r="D21" s="22" t="s">
        <v>662</v>
      </c>
      <c r="E21" s="21" t="s">
        <v>663</v>
      </c>
      <c r="F21" s="21"/>
      <c r="G21" s="176">
        <v>10.025</v>
      </c>
      <c r="H21" s="175">
        <v>42948</v>
      </c>
      <c r="I21" s="192">
        <v>43708</v>
      </c>
      <c r="J21" s="271">
        <v>200000</v>
      </c>
      <c r="K21" s="35" t="s">
        <v>666</v>
      </c>
      <c r="L21" s="21" t="s">
        <v>6</v>
      </c>
      <c r="M21" s="22"/>
      <c r="N21" s="62"/>
      <c r="O21" s="62">
        <v>13000</v>
      </c>
      <c r="P21" s="62"/>
      <c r="Q21" s="62">
        <v>975</v>
      </c>
      <c r="R21" s="62">
        <v>3520</v>
      </c>
      <c r="S21" s="62"/>
      <c r="T21" s="62">
        <v>3235</v>
      </c>
      <c r="U21" s="62"/>
      <c r="V21" s="62">
        <v>2000</v>
      </c>
      <c r="W21" s="62">
        <v>2270</v>
      </c>
      <c r="X21" s="26">
        <f t="shared" si="0"/>
        <v>25000</v>
      </c>
      <c r="Y21" s="27">
        <f t="shared" si="1"/>
        <v>-175000</v>
      </c>
    </row>
    <row r="22" spans="1:31" s="63" customFormat="1" ht="85">
      <c r="A22" s="57"/>
      <c r="B22" s="399" t="s">
        <v>771</v>
      </c>
      <c r="C22" s="22" t="s">
        <v>854</v>
      </c>
      <c r="D22" s="22" t="s">
        <v>791</v>
      </c>
      <c r="E22" s="21" t="s">
        <v>955</v>
      </c>
      <c r="F22" s="21" t="s">
        <v>285</v>
      </c>
      <c r="G22" s="176">
        <v>10.68</v>
      </c>
      <c r="H22" s="175">
        <v>41472</v>
      </c>
      <c r="I22" s="192">
        <v>43271</v>
      </c>
      <c r="J22" s="273">
        <v>90000</v>
      </c>
      <c r="K22" s="21" t="s">
        <v>792</v>
      </c>
      <c r="L22" s="21" t="s">
        <v>0</v>
      </c>
      <c r="M22" s="22" t="s">
        <v>793</v>
      </c>
      <c r="N22" s="62"/>
      <c r="O22" s="62"/>
      <c r="P22" s="62"/>
      <c r="Q22" s="62">
        <v>14305</v>
      </c>
      <c r="R22" s="62">
        <v>3000</v>
      </c>
      <c r="S22" s="62"/>
      <c r="T22" s="62">
        <v>3425</v>
      </c>
      <c r="U22" s="62"/>
      <c r="V22" s="62">
        <f>2000</f>
        <v>2000</v>
      </c>
      <c r="W22" s="62">
        <v>2270</v>
      </c>
      <c r="X22" s="26">
        <f>SUM(N22:W22)</f>
        <v>25000</v>
      </c>
      <c r="Y22" s="27">
        <f>X22-J22</f>
        <v>-65000</v>
      </c>
    </row>
    <row r="23" spans="1:31" s="63" customFormat="1" ht="51">
      <c r="A23" s="57"/>
      <c r="B23" s="399" t="s">
        <v>0</v>
      </c>
      <c r="C23" s="22" t="s">
        <v>598</v>
      </c>
      <c r="D23" s="22" t="s">
        <v>627</v>
      </c>
      <c r="E23" s="596"/>
      <c r="F23" s="21" t="s">
        <v>628</v>
      </c>
      <c r="G23" s="176">
        <v>10.321999999999999</v>
      </c>
      <c r="H23" s="175">
        <v>42979</v>
      </c>
      <c r="I23" s="192">
        <v>43708</v>
      </c>
      <c r="J23" s="271">
        <v>168653</v>
      </c>
      <c r="K23" s="35" t="s">
        <v>95</v>
      </c>
      <c r="L23" s="21" t="s">
        <v>6</v>
      </c>
      <c r="M23" s="22" t="s">
        <v>897</v>
      </c>
      <c r="N23" s="78"/>
      <c r="O23" s="78">
        <f>12662+6552</f>
        <v>19214</v>
      </c>
      <c r="P23" s="78"/>
      <c r="Q23" s="78">
        <v>5137</v>
      </c>
      <c r="R23" s="78"/>
      <c r="S23" s="78"/>
      <c r="T23" s="78">
        <v>15750</v>
      </c>
      <c r="U23" s="78"/>
      <c r="V23" s="78">
        <v>3008</v>
      </c>
      <c r="W23" s="78">
        <v>4790</v>
      </c>
      <c r="X23" s="26">
        <f t="shared" si="0"/>
        <v>47899</v>
      </c>
      <c r="Y23" s="27">
        <f t="shared" si="1"/>
        <v>-120754</v>
      </c>
    </row>
    <row r="24" spans="1:31" s="63" customFormat="1" ht="51">
      <c r="A24" s="57"/>
      <c r="B24" s="611" t="s">
        <v>0</v>
      </c>
      <c r="C24" s="426" t="s">
        <v>1242</v>
      </c>
      <c r="D24" s="425" t="s">
        <v>1243</v>
      </c>
      <c r="E24" s="446" t="s">
        <v>1298</v>
      </c>
      <c r="F24" s="425" t="s">
        <v>1244</v>
      </c>
      <c r="G24" s="427">
        <v>10.17</v>
      </c>
      <c r="H24" s="428" t="s">
        <v>1245</v>
      </c>
      <c r="I24" s="428" t="s">
        <v>1246</v>
      </c>
      <c r="J24" s="429">
        <v>203840.63</v>
      </c>
      <c r="K24" s="425" t="s">
        <v>1247</v>
      </c>
      <c r="L24" s="425" t="s">
        <v>6</v>
      </c>
      <c r="M24" s="238" t="s">
        <v>1248</v>
      </c>
      <c r="N24" s="78"/>
      <c r="O24" s="78"/>
      <c r="P24" s="78"/>
      <c r="Q24" s="78"/>
      <c r="R24" s="78"/>
      <c r="S24" s="78"/>
      <c r="T24" s="78"/>
      <c r="U24" s="78"/>
      <c r="V24" s="78"/>
      <c r="W24" s="78"/>
      <c r="X24" s="26"/>
      <c r="Y24" s="27"/>
    </row>
    <row r="25" spans="1:31" s="79" customFormat="1" ht="68">
      <c r="A25" s="57"/>
      <c r="B25" s="358" t="s">
        <v>0</v>
      </c>
      <c r="C25" s="71" t="s">
        <v>1002</v>
      </c>
      <c r="D25" s="71" t="s">
        <v>322</v>
      </c>
      <c r="E25" s="70" t="s">
        <v>103</v>
      </c>
      <c r="F25" s="70" t="s">
        <v>323</v>
      </c>
      <c r="G25" s="156">
        <v>10.17</v>
      </c>
      <c r="H25" s="101" t="s">
        <v>324</v>
      </c>
      <c r="I25" s="174" t="s">
        <v>58</v>
      </c>
      <c r="J25" s="72">
        <v>223448</v>
      </c>
      <c r="K25" s="70" t="s">
        <v>429</v>
      </c>
      <c r="L25" s="71" t="s">
        <v>6</v>
      </c>
      <c r="M25" s="71" t="s">
        <v>502</v>
      </c>
      <c r="N25" s="62"/>
      <c r="O25" s="62">
        <v>66300</v>
      </c>
      <c r="P25" s="62"/>
      <c r="Q25" s="62">
        <v>5071.95</v>
      </c>
      <c r="R25" s="62">
        <v>7180</v>
      </c>
      <c r="S25" s="62">
        <v>100000</v>
      </c>
      <c r="T25" s="62">
        <v>15509.12</v>
      </c>
      <c r="U25" s="62"/>
      <c r="V25" s="62"/>
      <c r="W25" s="62">
        <v>16874.88</v>
      </c>
      <c r="X25" s="26">
        <f t="shared" si="0"/>
        <v>210935.95</v>
      </c>
      <c r="Y25" s="27">
        <f t="shared" si="1"/>
        <v>-12512.049999999988</v>
      </c>
    </row>
    <row r="26" spans="1:31" s="80" customFormat="1" ht="68">
      <c r="A26" s="57"/>
      <c r="B26" s="399" t="s">
        <v>829</v>
      </c>
      <c r="C26" s="22" t="s">
        <v>598</v>
      </c>
      <c r="D26" s="22" t="s">
        <v>1021</v>
      </c>
      <c r="E26" s="21" t="s">
        <v>954</v>
      </c>
      <c r="F26" s="21" t="s">
        <v>282</v>
      </c>
      <c r="G26" s="176">
        <v>10.5</v>
      </c>
      <c r="H26" s="175">
        <v>41913</v>
      </c>
      <c r="I26" s="192">
        <v>43738</v>
      </c>
      <c r="J26" s="273">
        <v>103831</v>
      </c>
      <c r="K26" s="21" t="s">
        <v>393</v>
      </c>
      <c r="L26" s="21" t="s">
        <v>0</v>
      </c>
      <c r="M26" s="22" t="s">
        <v>1012</v>
      </c>
      <c r="N26" s="62">
        <v>5867</v>
      </c>
      <c r="O26" s="62">
        <f>34736+6120</f>
        <v>40856</v>
      </c>
      <c r="P26" s="62"/>
      <c r="Q26" s="62">
        <v>11690</v>
      </c>
      <c r="R26" s="62">
        <v>5700</v>
      </c>
      <c r="S26" s="62"/>
      <c r="T26" s="62">
        <v>1287</v>
      </c>
      <c r="U26" s="62">
        <v>2200</v>
      </c>
      <c r="V26" s="62">
        <f>5500</f>
        <v>5500</v>
      </c>
      <c r="W26" s="62">
        <v>12900</v>
      </c>
      <c r="X26" s="26">
        <f t="shared" si="0"/>
        <v>86000</v>
      </c>
      <c r="Y26" s="27">
        <f t="shared" si="1"/>
        <v>-17831</v>
      </c>
    </row>
    <row r="27" spans="1:31" s="24" customFormat="1" ht="34">
      <c r="A27" s="57"/>
      <c r="B27" s="399" t="s">
        <v>829</v>
      </c>
      <c r="C27" s="22" t="s">
        <v>598</v>
      </c>
      <c r="D27" s="22" t="s">
        <v>1022</v>
      </c>
      <c r="E27" s="21" t="s">
        <v>957</v>
      </c>
      <c r="F27" s="21" t="s">
        <v>283</v>
      </c>
      <c r="G27" s="176">
        <v>10.5</v>
      </c>
      <c r="H27" s="175">
        <v>42278</v>
      </c>
      <c r="I27" s="192">
        <v>44104</v>
      </c>
      <c r="J27" s="273">
        <v>103757</v>
      </c>
      <c r="K27" s="21" t="s">
        <v>840</v>
      </c>
      <c r="L27" s="21" t="s">
        <v>0</v>
      </c>
      <c r="M27" s="33" t="s">
        <v>772</v>
      </c>
      <c r="N27" s="21"/>
      <c r="O27" s="21"/>
      <c r="P27" s="21"/>
      <c r="Q27" s="21"/>
      <c r="R27" s="21"/>
      <c r="S27" s="21"/>
      <c r="T27" s="21"/>
      <c r="U27" s="21"/>
      <c r="V27" s="21"/>
      <c r="W27" s="21"/>
      <c r="X27" s="26"/>
      <c r="Y27" s="27"/>
    </row>
    <row r="28" spans="1:31" s="24" customFormat="1" ht="34">
      <c r="A28" s="57"/>
      <c r="B28" s="399" t="s">
        <v>829</v>
      </c>
      <c r="C28" s="22" t="s">
        <v>598</v>
      </c>
      <c r="D28" s="22" t="s">
        <v>1023</v>
      </c>
      <c r="E28" s="21" t="s">
        <v>957</v>
      </c>
      <c r="F28" s="21" t="s">
        <v>284</v>
      </c>
      <c r="G28" s="176">
        <v>10.5</v>
      </c>
      <c r="H28" s="175">
        <v>42644</v>
      </c>
      <c r="I28" s="192">
        <v>44469</v>
      </c>
      <c r="J28" s="273">
        <v>18676</v>
      </c>
      <c r="K28" s="21" t="s">
        <v>840</v>
      </c>
      <c r="L28" s="21" t="s">
        <v>0</v>
      </c>
      <c r="M28" s="33" t="s">
        <v>772</v>
      </c>
      <c r="N28" s="21"/>
      <c r="O28" s="21"/>
      <c r="P28" s="21"/>
      <c r="Q28" s="21"/>
      <c r="R28" s="21"/>
      <c r="S28" s="21"/>
      <c r="T28" s="21"/>
      <c r="U28" s="21"/>
      <c r="V28" s="21"/>
      <c r="W28" s="21"/>
      <c r="X28" s="26">
        <f t="shared" ref="X28:X68" si="2">SUM(N28:W28)</f>
        <v>0</v>
      </c>
      <c r="Y28" s="27">
        <f t="shared" ref="Y28:Y68" si="3">X28-J28</f>
        <v>-18676</v>
      </c>
    </row>
    <row r="29" spans="1:31" s="24" customFormat="1" ht="34">
      <c r="A29" s="57"/>
      <c r="B29" s="399" t="s">
        <v>829</v>
      </c>
      <c r="C29" s="22" t="s">
        <v>598</v>
      </c>
      <c r="D29" s="22" t="s">
        <v>1024</v>
      </c>
      <c r="E29" s="21" t="s">
        <v>957</v>
      </c>
      <c r="F29" s="21" t="s">
        <v>841</v>
      </c>
      <c r="G29" s="176">
        <v>10.5</v>
      </c>
      <c r="H29" s="175">
        <v>43009</v>
      </c>
      <c r="I29" s="192">
        <v>44834</v>
      </c>
      <c r="J29" s="273">
        <v>103757</v>
      </c>
      <c r="K29" s="21" t="s">
        <v>840</v>
      </c>
      <c r="L29" s="21" t="s">
        <v>0</v>
      </c>
      <c r="M29" s="33" t="s">
        <v>772</v>
      </c>
      <c r="N29" s="21"/>
      <c r="O29" s="21"/>
      <c r="P29" s="21"/>
      <c r="Q29" s="21"/>
      <c r="R29" s="21"/>
      <c r="S29" s="21"/>
      <c r="T29" s="21"/>
      <c r="U29" s="21"/>
      <c r="V29" s="21"/>
      <c r="W29" s="21"/>
      <c r="X29" s="26">
        <f t="shared" si="2"/>
        <v>0</v>
      </c>
      <c r="Y29" s="27">
        <f t="shared" si="3"/>
        <v>-103757</v>
      </c>
    </row>
    <row r="30" spans="1:31" s="24" customFormat="1" ht="34">
      <c r="A30" s="57"/>
      <c r="B30" s="399" t="s">
        <v>829</v>
      </c>
      <c r="C30" s="22" t="s">
        <v>598</v>
      </c>
      <c r="D30" s="22" t="s">
        <v>1025</v>
      </c>
      <c r="E30" s="21" t="s">
        <v>852</v>
      </c>
      <c r="F30" s="21" t="s">
        <v>853</v>
      </c>
      <c r="G30" s="176">
        <v>10.329000000000001</v>
      </c>
      <c r="H30" s="175">
        <v>42979</v>
      </c>
      <c r="I30" s="192">
        <v>44074</v>
      </c>
      <c r="J30" s="273">
        <v>67800</v>
      </c>
      <c r="K30" s="21" t="s">
        <v>850</v>
      </c>
      <c r="L30" s="21" t="s">
        <v>0</v>
      </c>
      <c r="M30" s="86" t="s">
        <v>851</v>
      </c>
      <c r="N30" s="21"/>
      <c r="O30" s="21"/>
      <c r="P30" s="21"/>
      <c r="Q30" s="21"/>
      <c r="R30" s="21"/>
      <c r="S30" s="21"/>
      <c r="T30" s="21"/>
      <c r="U30" s="21"/>
      <c r="V30" s="21"/>
      <c r="W30" s="21"/>
      <c r="X30" s="26"/>
      <c r="Y30" s="27"/>
    </row>
    <row r="31" spans="1:31" s="24" customFormat="1" ht="34">
      <c r="A31" s="57"/>
      <c r="B31" s="399" t="s">
        <v>829</v>
      </c>
      <c r="C31" s="22" t="s">
        <v>598</v>
      </c>
      <c r="D31" s="22" t="s">
        <v>1025</v>
      </c>
      <c r="E31" s="21" t="s">
        <v>848</v>
      </c>
      <c r="F31" s="21" t="s">
        <v>849</v>
      </c>
      <c r="G31" s="176">
        <v>10.329000000000001</v>
      </c>
      <c r="H31" s="175">
        <v>41883</v>
      </c>
      <c r="I31" s="192">
        <v>43343</v>
      </c>
      <c r="J31" s="273">
        <v>97500</v>
      </c>
      <c r="K31" s="21" t="s">
        <v>850</v>
      </c>
      <c r="L31" s="21" t="s">
        <v>0</v>
      </c>
      <c r="M31" s="86" t="s">
        <v>851</v>
      </c>
      <c r="N31" s="21"/>
      <c r="O31" s="21"/>
      <c r="P31" s="21"/>
      <c r="Q31" s="21"/>
      <c r="R31" s="21"/>
      <c r="S31" s="21"/>
      <c r="T31" s="21"/>
      <c r="U31" s="21"/>
      <c r="V31" s="21"/>
      <c r="W31" s="21"/>
      <c r="X31" s="26"/>
      <c r="Y31" s="27"/>
    </row>
    <row r="32" spans="1:31" s="24" customFormat="1" ht="17">
      <c r="A32" s="57"/>
      <c r="B32" s="399" t="s">
        <v>0</v>
      </c>
      <c r="C32" s="22" t="s">
        <v>13</v>
      </c>
      <c r="D32" s="22" t="s">
        <v>667</v>
      </c>
      <c r="E32" s="21" t="s">
        <v>351</v>
      </c>
      <c r="F32" s="21"/>
      <c r="G32" s="176">
        <v>10.68</v>
      </c>
      <c r="H32" s="175">
        <v>42979</v>
      </c>
      <c r="I32" s="192">
        <v>43830</v>
      </c>
      <c r="J32" s="271">
        <v>65000</v>
      </c>
      <c r="K32" s="35"/>
      <c r="L32" s="21" t="s">
        <v>6</v>
      </c>
      <c r="M32" s="22"/>
      <c r="N32" s="21"/>
      <c r="O32" s="21"/>
      <c r="P32" s="21"/>
      <c r="Q32" s="21"/>
      <c r="R32" s="21"/>
      <c r="S32" s="21"/>
      <c r="T32" s="21"/>
      <c r="U32" s="21"/>
      <c r="V32" s="21"/>
      <c r="W32" s="21"/>
      <c r="X32" s="26">
        <f t="shared" si="2"/>
        <v>0</v>
      </c>
      <c r="Y32" s="27">
        <f t="shared" si="3"/>
        <v>-65000</v>
      </c>
    </row>
    <row r="33" spans="1:25" s="24" customFormat="1" ht="51">
      <c r="A33" s="57"/>
      <c r="B33" s="358" t="s">
        <v>0</v>
      </c>
      <c r="C33" s="71" t="s">
        <v>854</v>
      </c>
      <c r="D33" s="71" t="s">
        <v>1015</v>
      </c>
      <c r="E33" s="70" t="s">
        <v>163</v>
      </c>
      <c r="F33" s="70" t="s">
        <v>293</v>
      </c>
      <c r="G33" s="156">
        <v>10.651999999999999</v>
      </c>
      <c r="H33" s="101" t="s">
        <v>62</v>
      </c>
      <c r="I33" s="138" t="s">
        <v>164</v>
      </c>
      <c r="J33" s="72">
        <v>64107</v>
      </c>
      <c r="K33" s="70" t="s">
        <v>170</v>
      </c>
      <c r="L33" s="71" t="s">
        <v>6</v>
      </c>
      <c r="M33" s="71" t="s">
        <v>289</v>
      </c>
      <c r="N33" s="21"/>
      <c r="O33" s="21"/>
      <c r="P33" s="21"/>
      <c r="Q33" s="21"/>
      <c r="R33" s="21"/>
      <c r="S33" s="21"/>
      <c r="T33" s="21"/>
      <c r="U33" s="21"/>
      <c r="V33" s="21"/>
      <c r="W33" s="21"/>
      <c r="X33" s="26"/>
      <c r="Y33" s="27"/>
    </row>
    <row r="34" spans="1:25" s="24" customFormat="1" ht="51">
      <c r="A34" s="57"/>
      <c r="B34" s="358" t="s">
        <v>0</v>
      </c>
      <c r="C34" s="71" t="s">
        <v>854</v>
      </c>
      <c r="D34" s="71" t="s">
        <v>1016</v>
      </c>
      <c r="E34" s="70" t="s">
        <v>168</v>
      </c>
      <c r="F34" s="70" t="s">
        <v>294</v>
      </c>
      <c r="G34" s="156">
        <v>10.651999999999999</v>
      </c>
      <c r="H34" s="101" t="s">
        <v>124</v>
      </c>
      <c r="I34" s="138" t="s">
        <v>169</v>
      </c>
      <c r="J34" s="72">
        <v>199834.88</v>
      </c>
      <c r="K34" s="70" t="s">
        <v>8</v>
      </c>
      <c r="L34" s="71" t="s">
        <v>6</v>
      </c>
      <c r="M34" s="71" t="s">
        <v>290</v>
      </c>
      <c r="N34" s="21"/>
      <c r="O34" s="21"/>
      <c r="P34" s="21"/>
      <c r="Q34" s="21"/>
      <c r="R34" s="21"/>
      <c r="S34" s="21"/>
      <c r="T34" s="21"/>
      <c r="U34" s="21"/>
      <c r="V34" s="21"/>
      <c r="W34" s="21"/>
      <c r="X34" s="26"/>
      <c r="Y34" s="27"/>
    </row>
    <row r="35" spans="1:25" s="24" customFormat="1" ht="68">
      <c r="A35" s="57"/>
      <c r="B35" s="399" t="s">
        <v>771</v>
      </c>
      <c r="C35" s="22" t="s">
        <v>598</v>
      </c>
      <c r="D35" s="22" t="s">
        <v>779</v>
      </c>
      <c r="E35" s="21" t="s">
        <v>960</v>
      </c>
      <c r="F35" s="21" t="s">
        <v>278</v>
      </c>
      <c r="G35" s="176">
        <v>10.202999999999999</v>
      </c>
      <c r="H35" s="175">
        <v>42278</v>
      </c>
      <c r="I35" s="192">
        <v>43008</v>
      </c>
      <c r="J35" s="273">
        <v>1220424</v>
      </c>
      <c r="K35" s="21" t="s">
        <v>776</v>
      </c>
      <c r="L35" s="21" t="s">
        <v>0</v>
      </c>
      <c r="M35" s="22" t="s">
        <v>780</v>
      </c>
      <c r="N35" s="21"/>
      <c r="O35" s="21"/>
      <c r="P35" s="21"/>
      <c r="Q35" s="21"/>
      <c r="R35" s="21"/>
      <c r="S35" s="21"/>
      <c r="T35" s="21"/>
      <c r="U35" s="21"/>
      <c r="V35" s="21"/>
      <c r="W35" s="21"/>
      <c r="X35" s="26"/>
      <c r="Y35" s="27"/>
    </row>
    <row r="36" spans="1:25" s="24" customFormat="1" ht="34">
      <c r="A36" s="57"/>
      <c r="B36" s="399" t="s">
        <v>771</v>
      </c>
      <c r="C36" s="22" t="s">
        <v>598</v>
      </c>
      <c r="D36" s="22" t="s">
        <v>781</v>
      </c>
      <c r="E36" s="21" t="s">
        <v>956</v>
      </c>
      <c r="F36" s="21" t="s">
        <v>782</v>
      </c>
      <c r="G36" s="176">
        <v>10.202999999999999</v>
      </c>
      <c r="H36" s="175">
        <v>42644</v>
      </c>
      <c r="I36" s="192">
        <v>43373</v>
      </c>
      <c r="J36" s="273">
        <v>1315132</v>
      </c>
      <c r="K36" s="21" t="s">
        <v>776</v>
      </c>
      <c r="L36" s="21"/>
      <c r="M36" s="83" t="s">
        <v>772</v>
      </c>
      <c r="N36" s="21"/>
      <c r="O36" s="21"/>
      <c r="P36" s="21"/>
      <c r="Q36" s="21"/>
      <c r="R36" s="21"/>
      <c r="S36" s="21"/>
      <c r="T36" s="21"/>
      <c r="U36" s="21"/>
      <c r="V36" s="21"/>
      <c r="W36" s="21"/>
      <c r="X36" s="26"/>
      <c r="Y36" s="27"/>
    </row>
    <row r="37" spans="1:25" s="24" customFormat="1" ht="34">
      <c r="A37" s="20"/>
      <c r="B37" s="399" t="s">
        <v>771</v>
      </c>
      <c r="C37" s="22" t="s">
        <v>598</v>
      </c>
      <c r="D37" s="22" t="s">
        <v>783</v>
      </c>
      <c r="E37" s="22" t="s">
        <v>961</v>
      </c>
      <c r="F37" s="21" t="s">
        <v>784</v>
      </c>
      <c r="G37" s="176">
        <v>10.202999999999999</v>
      </c>
      <c r="H37" s="175">
        <v>43009</v>
      </c>
      <c r="I37" s="192">
        <v>43738</v>
      </c>
      <c r="J37" s="273">
        <v>1415747</v>
      </c>
      <c r="K37" s="21" t="s">
        <v>773</v>
      </c>
      <c r="L37" s="21" t="s">
        <v>0</v>
      </c>
      <c r="M37" s="83" t="s">
        <v>772</v>
      </c>
      <c r="N37" s="21"/>
      <c r="O37" s="21">
        <v>31200</v>
      </c>
      <c r="P37" s="21">
        <v>49000</v>
      </c>
      <c r="Q37" s="21">
        <v>6100</v>
      </c>
      <c r="R37" s="21">
        <v>8200</v>
      </c>
      <c r="S37" s="21">
        <v>5000</v>
      </c>
      <c r="T37" s="21">
        <v>6100</v>
      </c>
      <c r="U37" s="21">
        <v>6000</v>
      </c>
      <c r="V37" s="21"/>
      <c r="W37" s="21">
        <v>18400</v>
      </c>
      <c r="X37" s="26">
        <f t="shared" si="2"/>
        <v>130000</v>
      </c>
      <c r="Y37" s="27">
        <f t="shared" si="3"/>
        <v>-1285747</v>
      </c>
    </row>
    <row r="38" spans="1:25" s="24" customFormat="1" ht="68">
      <c r="A38" s="20"/>
      <c r="B38" s="399" t="s">
        <v>829</v>
      </c>
      <c r="C38" s="22" t="s">
        <v>870</v>
      </c>
      <c r="D38" s="22" t="s">
        <v>876</v>
      </c>
      <c r="E38" s="21" t="s">
        <v>877</v>
      </c>
      <c r="F38" s="21" t="s">
        <v>878</v>
      </c>
      <c r="G38" s="176">
        <v>93.043000000000006</v>
      </c>
      <c r="H38" s="175">
        <v>42691</v>
      </c>
      <c r="I38" s="192">
        <v>43373</v>
      </c>
      <c r="J38" s="273">
        <v>49232</v>
      </c>
      <c r="K38" s="21" t="s">
        <v>840</v>
      </c>
      <c r="L38" s="21" t="s">
        <v>0</v>
      </c>
      <c r="M38" s="86" t="s">
        <v>879</v>
      </c>
      <c r="N38" s="23"/>
      <c r="O38" s="23">
        <v>31200</v>
      </c>
      <c r="P38" s="23">
        <v>23800</v>
      </c>
      <c r="Q38" s="23">
        <v>4200</v>
      </c>
      <c r="R38" s="23">
        <v>29900</v>
      </c>
      <c r="S38" s="23">
        <v>17500</v>
      </c>
      <c r="T38" s="23">
        <v>5000</v>
      </c>
      <c r="U38" s="23"/>
      <c r="V38" s="23">
        <v>20000</v>
      </c>
      <c r="W38" s="23">
        <v>18400</v>
      </c>
      <c r="X38" s="26">
        <f t="shared" si="2"/>
        <v>150000</v>
      </c>
      <c r="Y38" s="27">
        <f t="shared" si="3"/>
        <v>100768</v>
      </c>
    </row>
    <row r="39" spans="1:25" s="24" customFormat="1" ht="17">
      <c r="A39" s="20"/>
      <c r="B39" s="399" t="s">
        <v>0</v>
      </c>
      <c r="C39" s="22" t="s">
        <v>674</v>
      </c>
      <c r="D39" s="22" t="s">
        <v>675</v>
      </c>
      <c r="E39" s="21" t="s">
        <v>676</v>
      </c>
      <c r="F39" s="21"/>
      <c r="G39" s="176">
        <v>45.301000000000002</v>
      </c>
      <c r="H39" s="175">
        <v>43009</v>
      </c>
      <c r="I39" s="192">
        <v>44104</v>
      </c>
      <c r="J39" s="271">
        <v>97792</v>
      </c>
      <c r="K39" s="35" t="s">
        <v>677</v>
      </c>
      <c r="L39" s="21" t="s">
        <v>6</v>
      </c>
      <c r="M39" s="22"/>
      <c r="N39" s="23"/>
      <c r="O39" s="23"/>
      <c r="P39" s="23"/>
      <c r="Q39" s="23"/>
      <c r="R39" s="23"/>
      <c r="S39" s="23"/>
      <c r="T39" s="23"/>
      <c r="U39" s="23"/>
      <c r="V39" s="23"/>
      <c r="W39" s="23"/>
      <c r="X39" s="26"/>
      <c r="Y39" s="27"/>
    </row>
    <row r="40" spans="1:25" s="24" customFormat="1" ht="34">
      <c r="A40" s="20"/>
      <c r="B40" s="399" t="s">
        <v>771</v>
      </c>
      <c r="C40" s="22" t="s">
        <v>11</v>
      </c>
      <c r="D40" s="22" t="s">
        <v>805</v>
      </c>
      <c r="E40" s="21" t="s">
        <v>1174</v>
      </c>
      <c r="F40" s="21" t="s">
        <v>806</v>
      </c>
      <c r="G40" s="176">
        <v>47.073999999999998</v>
      </c>
      <c r="H40" s="175">
        <v>41395</v>
      </c>
      <c r="I40" s="192">
        <v>43465</v>
      </c>
      <c r="J40" s="273">
        <v>252109</v>
      </c>
      <c r="K40" s="21" t="s">
        <v>807</v>
      </c>
      <c r="L40" s="21" t="s">
        <v>0</v>
      </c>
      <c r="M40" s="22" t="s">
        <v>808</v>
      </c>
      <c r="N40" s="23"/>
      <c r="O40" s="23"/>
      <c r="P40" s="23"/>
      <c r="Q40" s="23"/>
      <c r="R40" s="23"/>
      <c r="S40" s="23"/>
      <c r="T40" s="23"/>
      <c r="U40" s="23"/>
      <c r="V40" s="23"/>
      <c r="W40" s="23"/>
      <c r="X40" s="26"/>
      <c r="Y40" s="27"/>
    </row>
    <row r="41" spans="1:25" s="24" customFormat="1" ht="17">
      <c r="A41" s="20"/>
      <c r="B41" s="399" t="s">
        <v>0</v>
      </c>
      <c r="C41" s="22" t="s">
        <v>13</v>
      </c>
      <c r="D41" s="22" t="s">
        <v>668</v>
      </c>
      <c r="E41" s="21" t="s">
        <v>669</v>
      </c>
      <c r="F41" s="21"/>
      <c r="G41" s="176">
        <v>10.321999999999999</v>
      </c>
      <c r="H41" s="175">
        <v>42979</v>
      </c>
      <c r="I41" s="192">
        <v>43708</v>
      </c>
      <c r="J41" s="271">
        <v>168653</v>
      </c>
      <c r="K41" s="35"/>
      <c r="L41" s="21" t="s">
        <v>6</v>
      </c>
      <c r="M41" s="22"/>
      <c r="N41" s="23"/>
      <c r="O41" s="23"/>
      <c r="P41" s="23"/>
      <c r="Q41" s="23"/>
      <c r="R41" s="23"/>
      <c r="S41" s="23"/>
      <c r="T41" s="23"/>
      <c r="U41" s="23"/>
      <c r="V41" s="23"/>
      <c r="W41" s="23"/>
      <c r="X41" s="26"/>
      <c r="Y41" s="27"/>
    </row>
    <row r="42" spans="1:25" s="24" customFormat="1" ht="85">
      <c r="A42" s="20"/>
      <c r="B42" s="399" t="s">
        <v>1230</v>
      </c>
      <c r="C42" s="22" t="s">
        <v>1356</v>
      </c>
      <c r="D42" s="22" t="s">
        <v>1357</v>
      </c>
      <c r="E42" s="583"/>
      <c r="F42" s="21" t="s">
        <v>1358</v>
      </c>
      <c r="G42" s="176">
        <v>47.076000000000001</v>
      </c>
      <c r="H42" s="175">
        <v>43344</v>
      </c>
      <c r="I42" s="192">
        <v>45169</v>
      </c>
      <c r="J42" s="271">
        <v>266655</v>
      </c>
      <c r="K42" s="35" t="s">
        <v>1369</v>
      </c>
      <c r="L42" s="21"/>
      <c r="M42" s="22" t="s">
        <v>1359</v>
      </c>
      <c r="N42" s="23"/>
      <c r="O42" s="23"/>
      <c r="P42" s="23"/>
      <c r="Q42" s="23"/>
      <c r="R42" s="23"/>
      <c r="S42" s="23"/>
      <c r="T42" s="23"/>
      <c r="U42" s="23"/>
      <c r="V42" s="23"/>
      <c r="W42" s="23"/>
      <c r="X42" s="26"/>
      <c r="Y42" s="27"/>
    </row>
    <row r="43" spans="1:25" s="24" customFormat="1" ht="34">
      <c r="A43" s="20"/>
      <c r="B43" s="399" t="s">
        <v>771</v>
      </c>
      <c r="C43" s="22" t="s">
        <v>819</v>
      </c>
      <c r="D43" s="22" t="s">
        <v>820</v>
      </c>
      <c r="E43" s="21" t="s">
        <v>821</v>
      </c>
      <c r="F43" s="21" t="s">
        <v>822</v>
      </c>
      <c r="G43" s="176">
        <v>10.912000000000001</v>
      </c>
      <c r="H43" s="175">
        <v>42781</v>
      </c>
      <c r="I43" s="192">
        <v>43737</v>
      </c>
      <c r="J43" s="273">
        <v>128049</v>
      </c>
      <c r="K43" s="21" t="s">
        <v>823</v>
      </c>
      <c r="L43" s="21" t="s">
        <v>0</v>
      </c>
      <c r="M43" s="22" t="s">
        <v>824</v>
      </c>
      <c r="N43" s="23"/>
      <c r="O43" s="23"/>
      <c r="P43" s="23"/>
      <c r="Q43" s="23"/>
      <c r="R43" s="23"/>
      <c r="S43" s="23"/>
      <c r="T43" s="23"/>
      <c r="U43" s="23"/>
      <c r="V43" s="23"/>
      <c r="W43" s="23"/>
      <c r="X43" s="26"/>
      <c r="Y43" s="27"/>
    </row>
    <row r="44" spans="1:25" s="24" customFormat="1" ht="68">
      <c r="A44" s="20"/>
      <c r="B44" s="399" t="s">
        <v>771</v>
      </c>
      <c r="C44" s="22" t="s">
        <v>598</v>
      </c>
      <c r="D44" s="22" t="s">
        <v>1041</v>
      </c>
      <c r="E44" s="21" t="s">
        <v>1005</v>
      </c>
      <c r="F44" s="22" t="s">
        <v>1006</v>
      </c>
      <c r="G44" s="21">
        <v>10.202</v>
      </c>
      <c r="H44" s="344">
        <v>42278</v>
      </c>
      <c r="I44" s="175">
        <v>43008</v>
      </c>
      <c r="J44" s="273">
        <v>106425</v>
      </c>
      <c r="K44" s="21" t="s">
        <v>392</v>
      </c>
      <c r="L44" s="21" t="s">
        <v>0</v>
      </c>
      <c r="M44" s="22" t="s">
        <v>1007</v>
      </c>
      <c r="N44" s="23"/>
      <c r="O44" s="23"/>
      <c r="P44" s="23"/>
      <c r="Q44" s="23"/>
      <c r="R44" s="23"/>
      <c r="S44" s="23"/>
      <c r="T44" s="23"/>
      <c r="U44" s="23"/>
      <c r="V44" s="23"/>
      <c r="W44" s="23"/>
      <c r="X44" s="26"/>
      <c r="Y44" s="27"/>
    </row>
    <row r="45" spans="1:25" s="24" customFormat="1" ht="34">
      <c r="A45" s="20"/>
      <c r="B45" s="401" t="s">
        <v>771</v>
      </c>
      <c r="C45" s="45" t="s">
        <v>598</v>
      </c>
      <c r="D45" s="45" t="s">
        <v>1042</v>
      </c>
      <c r="E45" s="102" t="s">
        <v>1008</v>
      </c>
      <c r="F45" s="45" t="s">
        <v>1009</v>
      </c>
      <c r="G45" s="102">
        <v>10.202</v>
      </c>
      <c r="H45" s="347">
        <v>42644</v>
      </c>
      <c r="I45" s="422">
        <v>43373</v>
      </c>
      <c r="J45" s="398">
        <v>150745</v>
      </c>
      <c r="K45" s="102" t="s">
        <v>392</v>
      </c>
      <c r="L45" s="102" t="s">
        <v>0</v>
      </c>
      <c r="M45" s="348" t="s">
        <v>772</v>
      </c>
      <c r="N45" s="23"/>
      <c r="O45" s="23"/>
      <c r="P45" s="23"/>
      <c r="Q45" s="23"/>
      <c r="R45" s="23"/>
      <c r="S45" s="23"/>
      <c r="T45" s="23"/>
      <c r="U45" s="23"/>
      <c r="V45" s="23"/>
      <c r="W45" s="23"/>
      <c r="X45" s="26"/>
      <c r="Y45" s="27"/>
    </row>
    <row r="46" spans="1:25" s="24" customFormat="1" ht="34">
      <c r="A46" s="20"/>
      <c r="B46" s="399" t="s">
        <v>771</v>
      </c>
      <c r="C46" s="22" t="s">
        <v>598</v>
      </c>
      <c r="D46" s="22" t="s">
        <v>1043</v>
      </c>
      <c r="E46" s="21" t="s">
        <v>1005</v>
      </c>
      <c r="F46" s="22" t="s">
        <v>1010</v>
      </c>
      <c r="G46" s="21">
        <v>10.202</v>
      </c>
      <c r="H46" s="344">
        <v>43009</v>
      </c>
      <c r="I46" s="175">
        <v>43738</v>
      </c>
      <c r="J46" s="273">
        <v>46146</v>
      </c>
      <c r="K46" s="21" t="s">
        <v>773</v>
      </c>
      <c r="L46" s="21" t="s">
        <v>0</v>
      </c>
      <c r="M46" s="345" t="s">
        <v>772</v>
      </c>
      <c r="N46" s="23"/>
      <c r="O46" s="23"/>
      <c r="P46" s="23"/>
      <c r="Q46" s="23"/>
      <c r="R46" s="23"/>
      <c r="S46" s="23"/>
      <c r="T46" s="23"/>
      <c r="U46" s="23"/>
      <c r="V46" s="23"/>
      <c r="W46" s="23"/>
      <c r="X46" s="26"/>
      <c r="Y46" s="27"/>
    </row>
    <row r="47" spans="1:25" s="24" customFormat="1" ht="187">
      <c r="A47" s="20"/>
      <c r="B47" s="45" t="s">
        <v>1230</v>
      </c>
      <c r="C47" s="45" t="s">
        <v>854</v>
      </c>
      <c r="D47" s="45" t="s">
        <v>1249</v>
      </c>
      <c r="E47" s="401" t="s">
        <v>1291</v>
      </c>
      <c r="F47" s="45" t="s">
        <v>1250</v>
      </c>
      <c r="G47" s="160">
        <v>10.664</v>
      </c>
      <c r="H47" s="103" t="s">
        <v>1229</v>
      </c>
      <c r="I47" s="103" t="s">
        <v>1251</v>
      </c>
      <c r="J47" s="129">
        <v>50000</v>
      </c>
      <c r="K47" s="45" t="s">
        <v>95</v>
      </c>
      <c r="L47" s="45" t="s">
        <v>6</v>
      </c>
      <c r="M47" s="71" t="s">
        <v>1252</v>
      </c>
      <c r="N47" s="23"/>
      <c r="O47" s="23"/>
      <c r="P47" s="23"/>
      <c r="Q47" s="23"/>
      <c r="R47" s="23"/>
      <c r="S47" s="23"/>
      <c r="T47" s="23"/>
      <c r="U47" s="23"/>
      <c r="V47" s="23"/>
      <c r="W47" s="23"/>
      <c r="X47" s="26"/>
      <c r="Y47" s="27"/>
    </row>
    <row r="48" spans="1:25" s="24" customFormat="1" ht="17">
      <c r="A48" s="20"/>
      <c r="B48" s="399" t="s">
        <v>0</v>
      </c>
      <c r="C48" s="22" t="s">
        <v>664</v>
      </c>
      <c r="D48" s="22" t="s">
        <v>1003</v>
      </c>
      <c r="E48" s="21" t="s">
        <v>665</v>
      </c>
      <c r="F48" s="21"/>
      <c r="G48" s="176">
        <v>15.875</v>
      </c>
      <c r="H48" s="175">
        <v>42937</v>
      </c>
      <c r="I48" s="192">
        <v>43738</v>
      </c>
      <c r="J48" s="271">
        <v>63816</v>
      </c>
      <c r="K48" s="35" t="s">
        <v>61</v>
      </c>
      <c r="L48" s="21" t="s">
        <v>6</v>
      </c>
      <c r="M48" s="22"/>
      <c r="N48" s="23"/>
      <c r="O48" s="23"/>
      <c r="P48" s="23"/>
      <c r="Q48" s="23"/>
      <c r="R48" s="23"/>
      <c r="S48" s="23"/>
      <c r="T48" s="23"/>
      <c r="U48" s="23"/>
      <c r="V48" s="23"/>
      <c r="W48" s="23"/>
      <c r="X48" s="26"/>
      <c r="Y48" s="27"/>
    </row>
    <row r="49" spans="1:25" s="24" customFormat="1" ht="85">
      <c r="A49" s="20"/>
      <c r="B49" s="358" t="s">
        <v>0</v>
      </c>
      <c r="C49" s="71" t="s">
        <v>13</v>
      </c>
      <c r="D49" s="71" t="s">
        <v>369</v>
      </c>
      <c r="E49" s="70" t="s">
        <v>66</v>
      </c>
      <c r="F49" s="70" t="s">
        <v>370</v>
      </c>
      <c r="G49" s="156" t="s">
        <v>67</v>
      </c>
      <c r="H49" s="101" t="s">
        <v>52</v>
      </c>
      <c r="I49" s="138" t="s">
        <v>53</v>
      </c>
      <c r="J49" s="72">
        <v>200000</v>
      </c>
      <c r="K49" s="70" t="s">
        <v>61</v>
      </c>
      <c r="L49" s="71" t="s">
        <v>6</v>
      </c>
      <c r="M49" s="71" t="s">
        <v>371</v>
      </c>
      <c r="N49" s="23"/>
      <c r="O49" s="23"/>
      <c r="P49" s="23"/>
      <c r="Q49" s="23"/>
      <c r="R49" s="23"/>
      <c r="S49" s="23"/>
      <c r="T49" s="23"/>
      <c r="U49" s="23"/>
      <c r="V49" s="23"/>
      <c r="W49" s="23"/>
      <c r="X49" s="26"/>
      <c r="Y49" s="27"/>
    </row>
    <row r="50" spans="1:25" s="24" customFormat="1" ht="80">
      <c r="A50" s="20"/>
      <c r="B50" s="399" t="s">
        <v>1052</v>
      </c>
      <c r="C50" s="22" t="s">
        <v>598</v>
      </c>
      <c r="D50" s="22" t="s">
        <v>1004</v>
      </c>
      <c r="E50" s="21" t="s">
        <v>958</v>
      </c>
      <c r="F50" s="21" t="s">
        <v>277</v>
      </c>
      <c r="G50" s="176">
        <v>10.202999999999999</v>
      </c>
      <c r="H50" s="175">
        <v>42278</v>
      </c>
      <c r="I50" s="192">
        <v>43008</v>
      </c>
      <c r="J50" s="273">
        <v>165342</v>
      </c>
      <c r="K50" s="21" t="s">
        <v>392</v>
      </c>
      <c r="L50" s="21" t="s">
        <v>0</v>
      </c>
      <c r="M50" s="256" t="s">
        <v>774</v>
      </c>
      <c r="N50" s="23"/>
      <c r="O50" s="23"/>
      <c r="P50" s="23"/>
      <c r="Q50" s="23"/>
      <c r="R50" s="23"/>
      <c r="S50" s="23"/>
      <c r="T50" s="23"/>
      <c r="U50" s="23"/>
      <c r="V50" s="23"/>
      <c r="W50" s="23"/>
      <c r="X50" s="26"/>
      <c r="Y50" s="27"/>
    </row>
    <row r="51" spans="1:25" s="24" customFormat="1" ht="80">
      <c r="A51" s="20"/>
      <c r="B51" s="399" t="s">
        <v>1052</v>
      </c>
      <c r="C51" s="22" t="s">
        <v>598</v>
      </c>
      <c r="D51" s="22" t="s">
        <v>775</v>
      </c>
      <c r="E51" s="22" t="s">
        <v>1175</v>
      </c>
      <c r="F51" s="21" t="s">
        <v>387</v>
      </c>
      <c r="G51" s="176">
        <v>10.202999999999999</v>
      </c>
      <c r="H51" s="175">
        <v>42644</v>
      </c>
      <c r="I51" s="192">
        <v>43373</v>
      </c>
      <c r="J51" s="273">
        <v>165547</v>
      </c>
      <c r="K51" s="21" t="s">
        <v>776</v>
      </c>
      <c r="L51" s="21" t="s">
        <v>0</v>
      </c>
      <c r="M51" s="349" t="s">
        <v>774</v>
      </c>
      <c r="N51" s="23"/>
      <c r="O51" s="23"/>
      <c r="P51" s="23"/>
      <c r="Q51" s="23"/>
      <c r="R51" s="23"/>
      <c r="S51" s="23"/>
      <c r="T51" s="23"/>
      <c r="U51" s="23"/>
      <c r="V51" s="23"/>
      <c r="W51" s="23"/>
      <c r="X51" s="26"/>
      <c r="Y51" s="27"/>
    </row>
    <row r="52" spans="1:25" s="24" customFormat="1" ht="34">
      <c r="A52" s="20"/>
      <c r="B52" s="399" t="s">
        <v>1052</v>
      </c>
      <c r="C52" s="22" t="s">
        <v>598</v>
      </c>
      <c r="D52" s="22" t="s">
        <v>777</v>
      </c>
      <c r="E52" s="22" t="s">
        <v>1177</v>
      </c>
      <c r="F52" s="21" t="s">
        <v>778</v>
      </c>
      <c r="G52" s="176">
        <v>10.202999999999999</v>
      </c>
      <c r="H52" s="175">
        <v>43009</v>
      </c>
      <c r="I52" s="192">
        <v>43738</v>
      </c>
      <c r="J52" s="273">
        <v>167631</v>
      </c>
      <c r="K52" s="21" t="s">
        <v>773</v>
      </c>
      <c r="L52" s="21"/>
      <c r="M52" s="403" t="s">
        <v>772</v>
      </c>
      <c r="N52" s="23"/>
      <c r="O52" s="23"/>
      <c r="P52" s="23"/>
      <c r="Q52" s="23"/>
      <c r="R52" s="23"/>
      <c r="S52" s="23"/>
      <c r="T52" s="23"/>
      <c r="U52" s="23"/>
      <c r="V52" s="23"/>
      <c r="W52" s="23"/>
      <c r="X52" s="26"/>
      <c r="Y52" s="27"/>
    </row>
    <row r="53" spans="1:25" s="24" customFormat="1" ht="102">
      <c r="A53" s="20"/>
      <c r="B53" s="358" t="s">
        <v>1230</v>
      </c>
      <c r="C53" s="71" t="s">
        <v>358</v>
      </c>
      <c r="D53" s="71" t="s">
        <v>1234</v>
      </c>
      <c r="E53" s="70" t="s">
        <v>1235</v>
      </c>
      <c r="F53" s="70" t="s">
        <v>361</v>
      </c>
      <c r="G53" s="156">
        <v>10.025</v>
      </c>
      <c r="H53" s="101" t="s">
        <v>1229</v>
      </c>
      <c r="I53" s="142" t="s">
        <v>927</v>
      </c>
      <c r="J53" s="72">
        <v>13800</v>
      </c>
      <c r="K53" s="70" t="s">
        <v>61</v>
      </c>
      <c r="L53" s="71" t="s">
        <v>6</v>
      </c>
      <c r="M53" s="71" t="s">
        <v>362</v>
      </c>
      <c r="N53" s="23"/>
      <c r="O53" s="23"/>
      <c r="P53" s="23"/>
      <c r="Q53" s="23"/>
      <c r="R53" s="23"/>
      <c r="S53" s="23"/>
      <c r="T53" s="23"/>
      <c r="U53" s="23"/>
      <c r="V53" s="23"/>
      <c r="W53" s="23"/>
      <c r="X53" s="26"/>
      <c r="Y53" s="27"/>
    </row>
    <row r="54" spans="1:25" s="624" customFormat="1" ht="242" customHeight="1">
      <c r="A54" s="613"/>
      <c r="B54" s="614" t="s">
        <v>0</v>
      </c>
      <c r="C54" s="615" t="s">
        <v>1413</v>
      </c>
      <c r="D54" s="615" t="s">
        <v>1431</v>
      </c>
      <c r="E54" s="596"/>
      <c r="F54" s="616" t="s">
        <v>1432</v>
      </c>
      <c r="G54" s="617">
        <v>47.076000000000001</v>
      </c>
      <c r="H54" s="618">
        <v>43248</v>
      </c>
      <c r="I54" s="619">
        <v>43296</v>
      </c>
      <c r="J54" s="620">
        <v>27410</v>
      </c>
      <c r="K54" s="616" t="s">
        <v>1026</v>
      </c>
      <c r="L54" s="616" t="s">
        <v>0</v>
      </c>
      <c r="M54" s="615" t="s">
        <v>1430</v>
      </c>
      <c r="N54" s="621"/>
      <c r="O54" s="621"/>
      <c r="P54" s="621"/>
      <c r="Q54" s="621"/>
      <c r="R54" s="621"/>
      <c r="S54" s="621"/>
      <c r="T54" s="621"/>
      <c r="U54" s="621"/>
      <c r="V54" s="621"/>
      <c r="W54" s="621"/>
      <c r="X54" s="622"/>
      <c r="Y54" s="623"/>
    </row>
    <row r="55" spans="1:25" s="24" customFormat="1" ht="51">
      <c r="A55" s="20"/>
      <c r="B55" s="45" t="s">
        <v>1053</v>
      </c>
      <c r="C55" s="45" t="s">
        <v>1258</v>
      </c>
      <c r="D55" s="45" t="s">
        <v>1259</v>
      </c>
      <c r="E55" s="401" t="s">
        <v>1294</v>
      </c>
      <c r="F55" s="45"/>
      <c r="G55" s="160">
        <v>10.025</v>
      </c>
      <c r="H55" s="103" t="s">
        <v>1260</v>
      </c>
      <c r="I55" s="103" t="s">
        <v>1261</v>
      </c>
      <c r="J55" s="129">
        <v>200000</v>
      </c>
      <c r="K55" s="45" t="s">
        <v>666</v>
      </c>
      <c r="L55" s="45" t="s">
        <v>6</v>
      </c>
      <c r="M55" s="71" t="s">
        <v>1262</v>
      </c>
      <c r="N55" s="23"/>
      <c r="O55" s="23"/>
      <c r="P55" s="23"/>
      <c r="Q55" s="23"/>
      <c r="R55" s="23"/>
      <c r="S55" s="23"/>
      <c r="T55" s="23"/>
      <c r="U55" s="23"/>
      <c r="V55" s="23"/>
      <c r="W55" s="23"/>
      <c r="X55" s="26"/>
      <c r="Y55" s="27"/>
    </row>
    <row r="56" spans="1:25" s="24" customFormat="1" ht="289">
      <c r="A56" s="20"/>
      <c r="B56" s="45" t="s">
        <v>1053</v>
      </c>
      <c r="C56" s="45" t="s">
        <v>1033</v>
      </c>
      <c r="D56" s="45" t="s">
        <v>1253</v>
      </c>
      <c r="E56" s="401" t="s">
        <v>1299</v>
      </c>
      <c r="F56" s="45" t="s">
        <v>1254</v>
      </c>
      <c r="G56" s="160">
        <v>10.215</v>
      </c>
      <c r="H56" s="101" t="s">
        <v>1255</v>
      </c>
      <c r="I56" s="103" t="s">
        <v>352</v>
      </c>
      <c r="J56" s="129">
        <v>49918</v>
      </c>
      <c r="K56" s="45" t="s">
        <v>1256</v>
      </c>
      <c r="L56" s="45" t="s">
        <v>6</v>
      </c>
      <c r="M56" s="71" t="s">
        <v>1257</v>
      </c>
      <c r="N56" s="23"/>
      <c r="O56" s="23"/>
      <c r="P56" s="23"/>
      <c r="Q56" s="23"/>
      <c r="R56" s="23"/>
      <c r="S56" s="23"/>
      <c r="T56" s="23"/>
      <c r="U56" s="23"/>
      <c r="V56" s="23"/>
      <c r="W56" s="23"/>
      <c r="X56" s="26"/>
      <c r="Y56" s="27"/>
    </row>
    <row r="57" spans="1:25" s="24" customFormat="1" ht="32" customHeight="1">
      <c r="A57" s="20"/>
      <c r="B57" s="358" t="s">
        <v>0</v>
      </c>
      <c r="C57" s="45" t="s">
        <v>1037</v>
      </c>
      <c r="D57" s="45" t="s">
        <v>1394</v>
      </c>
      <c r="E57" s="401" t="s">
        <v>158</v>
      </c>
      <c r="F57" s="45" t="s">
        <v>1395</v>
      </c>
      <c r="G57" s="590"/>
      <c r="H57" s="103" t="s">
        <v>1383</v>
      </c>
      <c r="I57" s="103" t="s">
        <v>1384</v>
      </c>
      <c r="J57" s="482">
        <v>29700</v>
      </c>
      <c r="K57" s="45" t="s">
        <v>70</v>
      </c>
      <c r="L57" s="591" t="s">
        <v>6</v>
      </c>
      <c r="M57" s="71" t="s">
        <v>1385</v>
      </c>
      <c r="N57" s="530" t="s">
        <v>6</v>
      </c>
      <c r="O57" s="498" t="s">
        <v>1385</v>
      </c>
      <c r="P57" s="23"/>
      <c r="Q57" s="23"/>
      <c r="R57" s="23"/>
      <c r="S57" s="23"/>
      <c r="T57" s="23"/>
      <c r="U57" s="23"/>
      <c r="V57" s="23"/>
      <c r="W57" s="23"/>
      <c r="X57" s="26"/>
      <c r="Y57" s="27"/>
    </row>
    <row r="58" spans="1:25" s="24" customFormat="1" ht="51">
      <c r="A58" s="20"/>
      <c r="B58" s="358" t="s">
        <v>0</v>
      </c>
      <c r="C58" s="71" t="s">
        <v>1037</v>
      </c>
      <c r="D58" s="71" t="s">
        <v>1036</v>
      </c>
      <c r="E58" s="70" t="s">
        <v>158</v>
      </c>
      <c r="F58" s="71" t="s">
        <v>398</v>
      </c>
      <c r="G58" s="156">
        <v>11.012</v>
      </c>
      <c r="H58" s="101" t="s">
        <v>43</v>
      </c>
      <c r="I58" s="174" t="s">
        <v>399</v>
      </c>
      <c r="J58" s="72">
        <v>9900</v>
      </c>
      <c r="K58" s="70" t="s">
        <v>70</v>
      </c>
      <c r="L58" s="71" t="s">
        <v>6</v>
      </c>
      <c r="M58" s="71" t="s">
        <v>400</v>
      </c>
      <c r="N58" s="21"/>
      <c r="O58" s="21"/>
      <c r="P58" s="21"/>
      <c r="Q58" s="21"/>
      <c r="R58" s="21"/>
      <c r="S58" s="21"/>
      <c r="T58" s="21"/>
      <c r="U58" s="21"/>
      <c r="V58" s="21"/>
      <c r="W58" s="21"/>
      <c r="X58" s="26">
        <f t="shared" si="2"/>
        <v>0</v>
      </c>
      <c r="Y58" s="27">
        <f t="shared" si="3"/>
        <v>-9900</v>
      </c>
    </row>
    <row r="59" spans="1:25" s="24" customFormat="1" ht="51">
      <c r="A59" s="20"/>
      <c r="B59" s="358" t="s">
        <v>0</v>
      </c>
      <c r="C59" s="71" t="s">
        <v>13</v>
      </c>
      <c r="D59" s="71" t="s">
        <v>363</v>
      </c>
      <c r="E59" s="73" t="s">
        <v>1176</v>
      </c>
      <c r="F59" s="73"/>
      <c r="G59" s="156">
        <v>10.025</v>
      </c>
      <c r="H59" s="101" t="s">
        <v>258</v>
      </c>
      <c r="I59" s="138" t="s">
        <v>364</v>
      </c>
      <c r="J59" s="72">
        <v>86000</v>
      </c>
      <c r="K59" s="70" t="s">
        <v>365</v>
      </c>
      <c r="L59" s="71" t="s">
        <v>6</v>
      </c>
      <c r="M59" s="71" t="s">
        <v>366</v>
      </c>
      <c r="N59" s="21"/>
      <c r="O59" s="21"/>
      <c r="P59" s="21"/>
      <c r="Q59" s="21"/>
      <c r="R59" s="21"/>
      <c r="S59" s="21"/>
      <c r="T59" s="21"/>
      <c r="U59" s="21"/>
      <c r="V59" s="21"/>
      <c r="W59" s="21"/>
      <c r="X59" s="26">
        <f t="shared" si="2"/>
        <v>0</v>
      </c>
      <c r="Y59" s="27">
        <f t="shared" si="3"/>
        <v>-86000</v>
      </c>
    </row>
    <row r="60" spans="1:25" s="24" customFormat="1" ht="68">
      <c r="A60" s="20"/>
      <c r="B60" s="358" t="s">
        <v>0</v>
      </c>
      <c r="C60" s="71" t="s">
        <v>1035</v>
      </c>
      <c r="D60" s="71" t="s">
        <v>1034</v>
      </c>
      <c r="E60" s="73" t="s">
        <v>1178</v>
      </c>
      <c r="F60" s="73" t="s">
        <v>335</v>
      </c>
      <c r="G60" s="156">
        <v>10.17</v>
      </c>
      <c r="H60" s="101" t="s">
        <v>152</v>
      </c>
      <c r="I60" s="138" t="s">
        <v>336</v>
      </c>
      <c r="J60" s="72">
        <v>210935.95</v>
      </c>
      <c r="K60" s="70" t="s">
        <v>96</v>
      </c>
      <c r="L60" s="71" t="s">
        <v>6</v>
      </c>
      <c r="M60" s="71" t="s">
        <v>337</v>
      </c>
      <c r="N60" s="21"/>
      <c r="O60" s="21"/>
      <c r="P60" s="21"/>
      <c r="Q60" s="21"/>
      <c r="R60" s="21"/>
      <c r="S60" s="21"/>
      <c r="T60" s="21"/>
      <c r="U60" s="21"/>
      <c r="V60" s="21"/>
      <c r="W60" s="21"/>
      <c r="X60" s="26"/>
      <c r="Y60" s="27"/>
    </row>
    <row r="61" spans="1:25" s="24" customFormat="1" ht="34">
      <c r="A61" s="20"/>
      <c r="B61" s="399" t="s">
        <v>1053</v>
      </c>
      <c r="C61" s="22" t="s">
        <v>598</v>
      </c>
      <c r="D61" s="22" t="s">
        <v>842</v>
      </c>
      <c r="E61" s="21" t="s">
        <v>843</v>
      </c>
      <c r="F61" s="21" t="s">
        <v>844</v>
      </c>
      <c r="G61" s="176">
        <v>10.5</v>
      </c>
      <c r="H61" s="175">
        <v>42644</v>
      </c>
      <c r="I61" s="192">
        <v>43373</v>
      </c>
      <c r="J61" s="273">
        <v>13500</v>
      </c>
      <c r="K61" s="21" t="s">
        <v>845</v>
      </c>
      <c r="L61" s="21" t="s">
        <v>0</v>
      </c>
      <c r="M61" s="21" t="s">
        <v>949</v>
      </c>
      <c r="N61" s="21"/>
      <c r="O61" s="21"/>
      <c r="P61" s="21"/>
      <c r="Q61" s="21"/>
      <c r="R61" s="21"/>
      <c r="S61" s="21"/>
      <c r="T61" s="21"/>
      <c r="U61" s="21"/>
      <c r="V61" s="21"/>
      <c r="W61" s="21"/>
      <c r="X61" s="26">
        <f t="shared" si="2"/>
        <v>0</v>
      </c>
      <c r="Y61" s="27">
        <f t="shared" si="3"/>
        <v>-13500</v>
      </c>
    </row>
    <row r="62" spans="1:25" s="24" customFormat="1" ht="34">
      <c r="A62" s="20"/>
      <c r="B62" s="399" t="s">
        <v>1053</v>
      </c>
      <c r="C62" s="22" t="s">
        <v>598</v>
      </c>
      <c r="D62" s="22" t="s">
        <v>846</v>
      </c>
      <c r="E62" s="21" t="s">
        <v>843</v>
      </c>
      <c r="F62" s="21" t="s">
        <v>847</v>
      </c>
      <c r="G62" s="176">
        <v>10.5</v>
      </c>
      <c r="H62" s="175">
        <v>43009</v>
      </c>
      <c r="I62" s="192">
        <v>43738</v>
      </c>
      <c r="J62" s="273">
        <v>6362</v>
      </c>
      <c r="K62" s="21" t="s">
        <v>845</v>
      </c>
      <c r="L62" s="21" t="s">
        <v>0</v>
      </c>
      <c r="M62" s="33" t="s">
        <v>772</v>
      </c>
      <c r="N62" s="21"/>
      <c r="O62" s="21"/>
      <c r="P62" s="21"/>
      <c r="Q62" s="21"/>
      <c r="R62" s="21"/>
      <c r="S62" s="21"/>
      <c r="T62" s="21"/>
      <c r="U62" s="21"/>
      <c r="V62" s="21"/>
      <c r="W62" s="21"/>
      <c r="X62" s="26"/>
      <c r="Y62" s="27"/>
    </row>
    <row r="63" spans="1:25" s="24" customFormat="1" ht="102">
      <c r="A63" s="20"/>
      <c r="B63" s="358" t="s">
        <v>0</v>
      </c>
      <c r="C63" s="71" t="s">
        <v>1030</v>
      </c>
      <c r="D63" s="401" t="s">
        <v>1160</v>
      </c>
      <c r="E63" s="70" t="s">
        <v>154</v>
      </c>
      <c r="F63" s="70" t="s">
        <v>401</v>
      </c>
      <c r="G63" s="156">
        <v>10.215</v>
      </c>
      <c r="H63" s="101" t="s">
        <v>28</v>
      </c>
      <c r="I63" s="174" t="s">
        <v>402</v>
      </c>
      <c r="J63" s="72">
        <v>20000</v>
      </c>
      <c r="K63" s="70" t="s">
        <v>92</v>
      </c>
      <c r="L63" s="71" t="s">
        <v>6</v>
      </c>
      <c r="M63" s="71" t="s">
        <v>504</v>
      </c>
      <c r="N63" s="21"/>
      <c r="O63" s="21"/>
      <c r="P63" s="21"/>
      <c r="Q63" s="21"/>
      <c r="R63" s="21"/>
      <c r="S63" s="21"/>
      <c r="T63" s="21"/>
      <c r="U63" s="21"/>
      <c r="V63" s="21"/>
      <c r="W63" s="21"/>
      <c r="X63" s="26"/>
      <c r="Y63" s="27"/>
    </row>
    <row r="64" spans="1:25" s="24" customFormat="1" ht="17">
      <c r="A64" s="20"/>
      <c r="B64" s="399" t="s">
        <v>0</v>
      </c>
      <c r="C64" s="22"/>
      <c r="D64" s="22" t="s">
        <v>672</v>
      </c>
      <c r="E64" s="21" t="s">
        <v>673</v>
      </c>
      <c r="F64" s="21"/>
      <c r="G64" s="176">
        <v>11.007999999999999</v>
      </c>
      <c r="H64" s="175">
        <v>43040</v>
      </c>
      <c r="I64" s="192">
        <v>43344</v>
      </c>
      <c r="J64" s="271">
        <v>25000</v>
      </c>
      <c r="K64" s="35"/>
      <c r="L64" s="21" t="s">
        <v>6</v>
      </c>
      <c r="M64" s="22"/>
      <c r="N64" s="21"/>
      <c r="O64" s="21"/>
      <c r="P64" s="21"/>
      <c r="Q64" s="21"/>
      <c r="R64" s="21"/>
      <c r="S64" s="21"/>
      <c r="T64" s="21"/>
      <c r="U64" s="21"/>
      <c r="V64" s="21"/>
      <c r="W64" s="21"/>
      <c r="X64" s="26"/>
      <c r="Y64" s="27"/>
    </row>
    <row r="65" spans="1:25" s="24" customFormat="1" ht="34">
      <c r="A65" s="20"/>
      <c r="B65" s="358" t="s">
        <v>0</v>
      </c>
      <c r="C65" s="71" t="s">
        <v>20</v>
      </c>
      <c r="D65" s="71" t="s">
        <v>180</v>
      </c>
      <c r="E65" s="73" t="s">
        <v>87</v>
      </c>
      <c r="F65" s="73" t="s">
        <v>295</v>
      </c>
      <c r="G65" s="156">
        <v>15.657</v>
      </c>
      <c r="H65" s="101" t="s">
        <v>59</v>
      </c>
      <c r="I65" s="138" t="s">
        <v>36</v>
      </c>
      <c r="J65" s="72">
        <v>200000</v>
      </c>
      <c r="K65" s="70" t="s">
        <v>95</v>
      </c>
      <c r="L65" s="71" t="s">
        <v>6</v>
      </c>
      <c r="M65" s="71" t="s">
        <v>505</v>
      </c>
      <c r="N65" s="21"/>
      <c r="O65" s="21"/>
      <c r="P65" s="21"/>
      <c r="Q65" s="21"/>
      <c r="R65" s="21"/>
      <c r="S65" s="21"/>
      <c r="T65" s="21"/>
      <c r="U65" s="21"/>
      <c r="V65" s="21"/>
      <c r="W65" s="21"/>
      <c r="X65" s="26">
        <f t="shared" si="2"/>
        <v>0</v>
      </c>
      <c r="Y65" s="27">
        <f t="shared" si="3"/>
        <v>-200000</v>
      </c>
    </row>
    <row r="66" spans="1:25" s="24" customFormat="1" ht="34">
      <c r="A66" s="20"/>
      <c r="B66" s="358" t="s">
        <v>0</v>
      </c>
      <c r="C66" s="71" t="s">
        <v>20</v>
      </c>
      <c r="D66" s="71" t="s">
        <v>165</v>
      </c>
      <c r="E66" s="70" t="s">
        <v>166</v>
      </c>
      <c r="F66" s="70" t="s">
        <v>295</v>
      </c>
      <c r="G66" s="156">
        <v>15.657</v>
      </c>
      <c r="H66" s="101" t="s">
        <v>32</v>
      </c>
      <c r="I66" s="138" t="s">
        <v>36</v>
      </c>
      <c r="J66" s="72">
        <v>88731</v>
      </c>
      <c r="K66" s="71" t="s">
        <v>95</v>
      </c>
      <c r="L66" s="71" t="s">
        <v>6</v>
      </c>
      <c r="M66" s="71" t="s">
        <v>505</v>
      </c>
      <c r="N66" s="21"/>
      <c r="O66" s="21"/>
      <c r="P66" s="21"/>
      <c r="Q66" s="21"/>
      <c r="R66" s="21"/>
      <c r="S66" s="21"/>
      <c r="T66" s="21"/>
      <c r="U66" s="21"/>
      <c r="V66" s="21"/>
      <c r="W66" s="21"/>
      <c r="X66" s="26">
        <f t="shared" si="2"/>
        <v>0</v>
      </c>
      <c r="Y66" s="27">
        <f t="shared" si="3"/>
        <v>-88731</v>
      </c>
    </row>
    <row r="67" spans="1:25" s="24" customFormat="1" ht="119">
      <c r="A67" s="20"/>
      <c r="B67" s="358" t="s">
        <v>0</v>
      </c>
      <c r="C67" s="71" t="s">
        <v>1033</v>
      </c>
      <c r="D67" s="358" t="s">
        <v>332</v>
      </c>
      <c r="E67" s="73" t="s">
        <v>156</v>
      </c>
      <c r="F67" s="73" t="s">
        <v>333</v>
      </c>
      <c r="G67" s="156">
        <v>10.215</v>
      </c>
      <c r="H67" s="101" t="s">
        <v>63</v>
      </c>
      <c r="I67" s="138" t="s">
        <v>157</v>
      </c>
      <c r="J67" s="72">
        <v>47899</v>
      </c>
      <c r="K67" s="70" t="s">
        <v>92</v>
      </c>
      <c r="L67" s="71" t="s">
        <v>6</v>
      </c>
      <c r="M67" s="71" t="s">
        <v>334</v>
      </c>
      <c r="N67" s="21"/>
      <c r="O67" s="21"/>
      <c r="P67" s="21"/>
      <c r="Q67" s="21"/>
      <c r="R67" s="21"/>
      <c r="S67" s="21"/>
      <c r="T67" s="21"/>
      <c r="U67" s="21"/>
      <c r="V67" s="21"/>
      <c r="W67" s="21"/>
      <c r="X67" s="26">
        <f t="shared" si="2"/>
        <v>0</v>
      </c>
      <c r="Y67" s="27">
        <f t="shared" si="3"/>
        <v>-47899</v>
      </c>
    </row>
    <row r="68" spans="1:25" s="24" customFormat="1" ht="68">
      <c r="A68" s="20"/>
      <c r="B68" s="399" t="s">
        <v>1053</v>
      </c>
      <c r="C68" s="22" t="s">
        <v>598</v>
      </c>
      <c r="D68" s="22" t="s">
        <v>830</v>
      </c>
      <c r="E68" s="85" t="s">
        <v>391</v>
      </c>
      <c r="F68" s="21" t="s">
        <v>281</v>
      </c>
      <c r="G68" s="176">
        <v>10.5</v>
      </c>
      <c r="H68" s="175">
        <v>41548</v>
      </c>
      <c r="I68" s="192">
        <v>43373</v>
      </c>
      <c r="J68" s="273">
        <v>1118297</v>
      </c>
      <c r="K68" s="21" t="s">
        <v>393</v>
      </c>
      <c r="L68" s="21" t="s">
        <v>0</v>
      </c>
      <c r="M68" s="22" t="s">
        <v>831</v>
      </c>
      <c r="N68" s="21"/>
      <c r="O68" s="21"/>
      <c r="P68" s="21"/>
      <c r="Q68" s="21"/>
      <c r="R68" s="21"/>
      <c r="S68" s="21"/>
      <c r="T68" s="21"/>
      <c r="U68" s="21"/>
      <c r="V68" s="21"/>
      <c r="W68" s="21"/>
      <c r="X68" s="26">
        <f t="shared" si="2"/>
        <v>0</v>
      </c>
      <c r="Y68" s="27">
        <f t="shared" si="3"/>
        <v>-1118297</v>
      </c>
    </row>
    <row r="69" spans="1:25" s="24" customFormat="1" ht="34">
      <c r="A69" s="20"/>
      <c r="B69" s="399" t="s">
        <v>1053</v>
      </c>
      <c r="C69" s="22" t="s">
        <v>598</v>
      </c>
      <c r="D69" s="22" t="s">
        <v>832</v>
      </c>
      <c r="E69" s="81" t="s">
        <v>390</v>
      </c>
      <c r="F69" s="21" t="s">
        <v>388</v>
      </c>
      <c r="G69" s="176">
        <v>10.5</v>
      </c>
      <c r="H69" s="175">
        <v>41913</v>
      </c>
      <c r="I69" s="192">
        <v>43738</v>
      </c>
      <c r="J69" s="273">
        <v>1223034</v>
      </c>
      <c r="K69" s="21" t="s">
        <v>393</v>
      </c>
      <c r="L69" s="21" t="s">
        <v>0</v>
      </c>
      <c r="M69" s="345" t="s">
        <v>772</v>
      </c>
      <c r="N69" s="21"/>
      <c r="O69" s="21"/>
      <c r="P69" s="21"/>
      <c r="Q69" s="21"/>
      <c r="R69" s="21"/>
      <c r="S69" s="21"/>
      <c r="T69" s="21"/>
      <c r="U69" s="21"/>
      <c r="V69" s="21"/>
      <c r="W69" s="21"/>
      <c r="X69" s="26"/>
      <c r="Y69" s="27"/>
    </row>
    <row r="70" spans="1:25" s="24" customFormat="1" ht="34">
      <c r="A70" s="20"/>
      <c r="B70" s="399" t="s">
        <v>1053</v>
      </c>
      <c r="C70" s="22" t="s">
        <v>598</v>
      </c>
      <c r="D70" s="22" t="s">
        <v>834</v>
      </c>
      <c r="E70" s="81" t="s">
        <v>391</v>
      </c>
      <c r="F70" s="21" t="s">
        <v>389</v>
      </c>
      <c r="G70" s="176">
        <v>10.5</v>
      </c>
      <c r="H70" s="175">
        <v>42278</v>
      </c>
      <c r="I70" s="192">
        <v>44104</v>
      </c>
      <c r="J70" s="273">
        <v>1327771</v>
      </c>
      <c r="K70" s="21" t="s">
        <v>393</v>
      </c>
      <c r="L70" s="21" t="s">
        <v>0</v>
      </c>
      <c r="M70" s="33" t="s">
        <v>772</v>
      </c>
      <c r="N70" s="21"/>
      <c r="O70" s="21"/>
      <c r="P70" s="21"/>
      <c r="Q70" s="21"/>
      <c r="R70" s="21"/>
      <c r="S70" s="21"/>
      <c r="T70" s="21"/>
      <c r="U70" s="21"/>
      <c r="V70" s="21"/>
      <c r="W70" s="21"/>
      <c r="X70" s="26"/>
      <c r="Y70" s="27"/>
    </row>
    <row r="71" spans="1:25" s="24" customFormat="1" ht="34">
      <c r="A71" s="20"/>
      <c r="B71" s="399" t="s">
        <v>1053</v>
      </c>
      <c r="C71" s="22" t="s">
        <v>598</v>
      </c>
      <c r="D71" s="22" t="s">
        <v>835</v>
      </c>
      <c r="E71" s="81" t="s">
        <v>390</v>
      </c>
      <c r="F71" s="21" t="s">
        <v>836</v>
      </c>
      <c r="G71" s="176">
        <v>10.5</v>
      </c>
      <c r="H71" s="175">
        <v>42644</v>
      </c>
      <c r="I71" s="192">
        <v>44469</v>
      </c>
      <c r="J71" s="273">
        <v>1426891</v>
      </c>
      <c r="K71" s="21" t="s">
        <v>837</v>
      </c>
      <c r="L71" s="21" t="s">
        <v>0</v>
      </c>
      <c r="M71" s="33" t="s">
        <v>772</v>
      </c>
      <c r="N71" s="21"/>
      <c r="O71" s="21"/>
      <c r="P71" s="21"/>
      <c r="Q71" s="21"/>
      <c r="R71" s="21"/>
      <c r="S71" s="21"/>
      <c r="T71" s="21"/>
      <c r="U71" s="21"/>
      <c r="V71" s="21"/>
      <c r="W71" s="21"/>
      <c r="X71" s="26"/>
      <c r="Y71" s="27"/>
    </row>
    <row r="72" spans="1:25" s="24" customFormat="1" ht="34">
      <c r="A72" s="20"/>
      <c r="B72" s="399" t="s">
        <v>1053</v>
      </c>
      <c r="C72" s="22" t="s">
        <v>598</v>
      </c>
      <c r="D72" s="22" t="s">
        <v>838</v>
      </c>
      <c r="E72" s="81" t="s">
        <v>391</v>
      </c>
      <c r="F72" s="21" t="s">
        <v>839</v>
      </c>
      <c r="G72" s="176">
        <v>10.5</v>
      </c>
      <c r="H72" s="175">
        <v>43009</v>
      </c>
      <c r="I72" s="192">
        <v>44834</v>
      </c>
      <c r="J72" s="273">
        <v>620660</v>
      </c>
      <c r="K72" s="21" t="s">
        <v>837</v>
      </c>
      <c r="L72" s="21" t="s">
        <v>0</v>
      </c>
      <c r="M72" s="33" t="s">
        <v>772</v>
      </c>
      <c r="N72" s="21"/>
      <c r="O72" s="21"/>
      <c r="P72" s="21"/>
      <c r="Q72" s="21"/>
      <c r="R72" s="21"/>
      <c r="S72" s="21"/>
      <c r="T72" s="21"/>
      <c r="U72" s="21"/>
      <c r="V72" s="21"/>
      <c r="W72" s="21"/>
      <c r="X72" s="26"/>
      <c r="Y72" s="27"/>
    </row>
    <row r="73" spans="1:25" s="24" customFormat="1" ht="34">
      <c r="A73" s="20"/>
      <c r="B73" s="399" t="s">
        <v>1053</v>
      </c>
      <c r="C73" s="22" t="s">
        <v>870</v>
      </c>
      <c r="D73" s="22" t="s">
        <v>1044</v>
      </c>
      <c r="E73" s="21" t="s">
        <v>871</v>
      </c>
      <c r="F73" s="21" t="s">
        <v>872</v>
      </c>
      <c r="G73" s="176">
        <v>10.561</v>
      </c>
      <c r="H73" s="175">
        <v>42571</v>
      </c>
      <c r="I73" s="192">
        <v>43463</v>
      </c>
      <c r="J73" s="273">
        <v>266737</v>
      </c>
      <c r="K73" s="21" t="s">
        <v>840</v>
      </c>
      <c r="L73" s="21" t="s">
        <v>0</v>
      </c>
      <c r="M73" s="86" t="s">
        <v>873</v>
      </c>
      <c r="N73" s="21"/>
      <c r="O73" s="21"/>
      <c r="P73" s="21"/>
      <c r="Q73" s="21"/>
      <c r="R73" s="21"/>
      <c r="S73" s="21"/>
      <c r="T73" s="21"/>
      <c r="U73" s="21"/>
      <c r="V73" s="21"/>
      <c r="W73" s="21"/>
      <c r="X73" s="26"/>
      <c r="Y73" s="27"/>
    </row>
    <row r="74" spans="1:25" s="24" customFormat="1" ht="34">
      <c r="A74" s="20"/>
      <c r="B74" s="399" t="s">
        <v>1053</v>
      </c>
      <c r="C74" s="22" t="s">
        <v>870</v>
      </c>
      <c r="D74" s="22" t="s">
        <v>1044</v>
      </c>
      <c r="E74" s="21" t="s">
        <v>874</v>
      </c>
      <c r="F74" s="21" t="s">
        <v>875</v>
      </c>
      <c r="G74" s="176">
        <v>10.561</v>
      </c>
      <c r="H74" s="175">
        <v>43009</v>
      </c>
      <c r="I74" s="192">
        <v>43738</v>
      </c>
      <c r="J74" s="273">
        <v>213382</v>
      </c>
      <c r="K74" s="21" t="s">
        <v>840</v>
      </c>
      <c r="L74" s="21" t="s">
        <v>0</v>
      </c>
      <c r="M74" s="33" t="s">
        <v>772</v>
      </c>
      <c r="N74" s="21"/>
      <c r="O74" s="21"/>
      <c r="P74" s="21"/>
      <c r="Q74" s="21"/>
      <c r="R74" s="21"/>
      <c r="S74" s="21"/>
      <c r="T74" s="21"/>
      <c r="U74" s="21"/>
      <c r="V74" s="21"/>
      <c r="W74" s="21"/>
      <c r="X74" s="26"/>
      <c r="Y74" s="27"/>
    </row>
    <row r="75" spans="1:25" s="24" customFormat="1" ht="68">
      <c r="A75" s="20"/>
      <c r="B75" s="358" t="s">
        <v>0</v>
      </c>
      <c r="C75" s="71" t="s">
        <v>1032</v>
      </c>
      <c r="D75" s="71" t="s">
        <v>1045</v>
      </c>
      <c r="E75" s="70" t="s">
        <v>160</v>
      </c>
      <c r="F75" s="70" t="s">
        <v>327</v>
      </c>
      <c r="G75" s="156">
        <v>10.17</v>
      </c>
      <c r="H75" s="101" t="s">
        <v>161</v>
      </c>
      <c r="I75" s="142" t="s">
        <v>162</v>
      </c>
      <c r="J75" s="72">
        <v>212900.9</v>
      </c>
      <c r="K75" s="70" t="s">
        <v>429</v>
      </c>
      <c r="L75" s="71" t="s">
        <v>6</v>
      </c>
      <c r="M75" s="71" t="s">
        <v>328</v>
      </c>
      <c r="N75" s="21"/>
      <c r="O75" s="21"/>
      <c r="P75" s="21"/>
      <c r="Q75" s="21"/>
      <c r="R75" s="21"/>
      <c r="S75" s="21"/>
      <c r="T75" s="21"/>
      <c r="U75" s="21"/>
      <c r="V75" s="21"/>
      <c r="W75" s="21"/>
      <c r="X75" s="26"/>
      <c r="Y75" s="27"/>
    </row>
    <row r="76" spans="1:25" s="24" customFormat="1" ht="68">
      <c r="A76" s="20"/>
      <c r="B76" s="399" t="s">
        <v>1053</v>
      </c>
      <c r="C76" s="22" t="s">
        <v>883</v>
      </c>
      <c r="D76" s="22" t="s">
        <v>1028</v>
      </c>
      <c r="E76" s="21" t="s">
        <v>884</v>
      </c>
      <c r="F76" s="21" t="s">
        <v>1027</v>
      </c>
      <c r="G76" s="176" t="s">
        <v>885</v>
      </c>
      <c r="H76" s="175">
        <v>42795</v>
      </c>
      <c r="I76" s="192">
        <v>43769</v>
      </c>
      <c r="J76" s="273">
        <v>4000</v>
      </c>
      <c r="K76" s="21" t="s">
        <v>857</v>
      </c>
      <c r="L76" s="21" t="s">
        <v>0</v>
      </c>
      <c r="M76" s="86" t="s">
        <v>886</v>
      </c>
      <c r="N76" s="21"/>
      <c r="O76" s="21"/>
      <c r="P76" s="21"/>
      <c r="Q76" s="21"/>
      <c r="R76" s="21"/>
      <c r="S76" s="21"/>
      <c r="T76" s="21"/>
      <c r="U76" s="21"/>
      <c r="V76" s="21"/>
      <c r="W76" s="21"/>
      <c r="X76" s="26"/>
      <c r="Y76" s="27"/>
    </row>
    <row r="77" spans="1:25" s="24" customFormat="1" ht="34">
      <c r="A77" s="20"/>
      <c r="B77" s="399" t="s">
        <v>1052</v>
      </c>
      <c r="C77" s="22" t="s">
        <v>345</v>
      </c>
      <c r="D77" s="22" t="s">
        <v>794</v>
      </c>
      <c r="E77" s="21" t="s">
        <v>799</v>
      </c>
      <c r="F77" s="21" t="s">
        <v>800</v>
      </c>
      <c r="G77" s="176">
        <v>10.025</v>
      </c>
      <c r="H77" s="175">
        <v>42979</v>
      </c>
      <c r="I77" s="192">
        <v>43343</v>
      </c>
      <c r="J77" s="273">
        <v>38320</v>
      </c>
      <c r="K77" s="21" t="s">
        <v>797</v>
      </c>
      <c r="L77" s="21" t="s">
        <v>0</v>
      </c>
      <c r="M77" s="22" t="s">
        <v>798</v>
      </c>
      <c r="N77" s="21"/>
      <c r="O77" s="21"/>
      <c r="P77" s="21"/>
      <c r="Q77" s="21"/>
      <c r="R77" s="21"/>
      <c r="S77" s="21"/>
      <c r="T77" s="21"/>
      <c r="U77" s="21"/>
      <c r="V77" s="21"/>
      <c r="W77" s="21"/>
      <c r="X77" s="26"/>
      <c r="Y77" s="27"/>
    </row>
    <row r="78" spans="1:25" s="24" customFormat="1" ht="34">
      <c r="A78" s="20"/>
      <c r="B78" s="399" t="s">
        <v>1052</v>
      </c>
      <c r="C78" s="22" t="s">
        <v>345</v>
      </c>
      <c r="D78" s="22" t="s">
        <v>794</v>
      </c>
      <c r="E78" s="21" t="s">
        <v>795</v>
      </c>
      <c r="F78" s="21" t="s">
        <v>796</v>
      </c>
      <c r="G78" s="176">
        <v>10.025</v>
      </c>
      <c r="H78" s="175">
        <v>42614</v>
      </c>
      <c r="I78" s="192">
        <v>43343</v>
      </c>
      <c r="J78" s="273">
        <v>38320</v>
      </c>
      <c r="K78" s="21" t="s">
        <v>797</v>
      </c>
      <c r="L78" s="21" t="s">
        <v>0</v>
      </c>
      <c r="M78" s="22" t="s">
        <v>798</v>
      </c>
      <c r="N78" s="21"/>
      <c r="O78" s="21"/>
      <c r="P78" s="21"/>
      <c r="Q78" s="21"/>
      <c r="R78" s="21"/>
      <c r="S78" s="21"/>
      <c r="T78" s="21"/>
      <c r="U78" s="21"/>
      <c r="V78" s="21"/>
      <c r="W78" s="21"/>
      <c r="X78" s="26"/>
      <c r="Y78" s="27"/>
    </row>
    <row r="79" spans="1:25" s="418" customFormat="1" ht="102">
      <c r="A79" s="414"/>
      <c r="B79" s="401" t="s">
        <v>0</v>
      </c>
      <c r="C79" s="45" t="s">
        <v>598</v>
      </c>
      <c r="D79" s="45" t="s">
        <v>1214</v>
      </c>
      <c r="E79" s="102" t="s">
        <v>1296</v>
      </c>
      <c r="F79" s="102" t="s">
        <v>1216</v>
      </c>
      <c r="G79" s="156">
        <v>10.321999999999999</v>
      </c>
      <c r="H79" s="422">
        <v>43344</v>
      </c>
      <c r="I79" s="423">
        <v>44074</v>
      </c>
      <c r="J79" s="398">
        <v>146732</v>
      </c>
      <c r="K79" s="102" t="s">
        <v>95</v>
      </c>
      <c r="L79" s="102" t="s">
        <v>6</v>
      </c>
      <c r="M79" s="45" t="s">
        <v>1215</v>
      </c>
      <c r="N79" s="415"/>
      <c r="O79" s="415"/>
      <c r="P79" s="415"/>
      <c r="Q79" s="415"/>
      <c r="R79" s="415"/>
      <c r="S79" s="415"/>
      <c r="T79" s="415"/>
      <c r="U79" s="415"/>
      <c r="V79" s="415"/>
      <c r="W79" s="415"/>
      <c r="X79" s="416"/>
      <c r="Y79" s="417"/>
    </row>
    <row r="80" spans="1:25" s="24" customFormat="1" ht="68">
      <c r="A80" s="20"/>
      <c r="B80" s="399" t="s">
        <v>1052</v>
      </c>
      <c r="C80" s="22" t="s">
        <v>854</v>
      </c>
      <c r="D80" s="22" t="s">
        <v>801</v>
      </c>
      <c r="E80" s="21" t="s">
        <v>802</v>
      </c>
      <c r="F80" s="21" t="s">
        <v>803</v>
      </c>
      <c r="G80" s="176">
        <v>10.68</v>
      </c>
      <c r="H80" s="175">
        <v>42936</v>
      </c>
      <c r="I80" s="192">
        <v>43646</v>
      </c>
      <c r="J80" s="273">
        <v>20000</v>
      </c>
      <c r="K80" s="21" t="s">
        <v>792</v>
      </c>
      <c r="L80" s="21" t="s">
        <v>0</v>
      </c>
      <c r="M80" s="22" t="s">
        <v>804</v>
      </c>
      <c r="N80" s="21"/>
      <c r="O80" s="21"/>
      <c r="P80" s="21"/>
      <c r="Q80" s="21"/>
      <c r="R80" s="21"/>
      <c r="S80" s="21"/>
      <c r="T80" s="21"/>
      <c r="U80" s="21"/>
      <c r="V80" s="21"/>
      <c r="W80" s="21"/>
      <c r="X80" s="26"/>
      <c r="Y80" s="27"/>
    </row>
    <row r="81" spans="1:25" s="24" customFormat="1" ht="34">
      <c r="A81" s="20"/>
      <c r="B81" s="399" t="s">
        <v>1052</v>
      </c>
      <c r="C81" s="22" t="s">
        <v>814</v>
      </c>
      <c r="D81" s="22" t="s">
        <v>1031</v>
      </c>
      <c r="E81" s="21" t="s">
        <v>815</v>
      </c>
      <c r="F81" s="21" t="s">
        <v>816</v>
      </c>
      <c r="G81" s="176">
        <v>10.304</v>
      </c>
      <c r="H81" s="175">
        <v>42614</v>
      </c>
      <c r="I81" s="192">
        <v>43343</v>
      </c>
      <c r="J81" s="273">
        <v>20608</v>
      </c>
      <c r="K81" s="21" t="s">
        <v>817</v>
      </c>
      <c r="L81" s="21" t="s">
        <v>0</v>
      </c>
      <c r="M81" s="22" t="s">
        <v>818</v>
      </c>
      <c r="N81" s="21"/>
      <c r="O81" s="21"/>
      <c r="P81" s="21"/>
      <c r="Q81" s="21"/>
      <c r="R81" s="21"/>
      <c r="S81" s="21"/>
      <c r="T81" s="21"/>
      <c r="U81" s="21"/>
      <c r="V81" s="21"/>
      <c r="W81" s="21"/>
      <c r="X81" s="26"/>
      <c r="Y81" s="27"/>
    </row>
    <row r="82" spans="1:25" s="24" customFormat="1" ht="34">
      <c r="A82" s="20"/>
      <c r="B82" s="399" t="s">
        <v>1053</v>
      </c>
      <c r="C82" s="22" t="s">
        <v>1011</v>
      </c>
      <c r="D82" s="22" t="s">
        <v>1049</v>
      </c>
      <c r="E82" s="21" t="s">
        <v>867</v>
      </c>
      <c r="F82" s="21" t="s">
        <v>869</v>
      </c>
      <c r="G82" s="176">
        <v>10.215</v>
      </c>
      <c r="H82" s="175">
        <v>41883</v>
      </c>
      <c r="I82" s="192">
        <v>43343</v>
      </c>
      <c r="J82" s="273">
        <v>63900</v>
      </c>
      <c r="K82" s="21" t="s">
        <v>857</v>
      </c>
      <c r="L82" s="21" t="s">
        <v>0</v>
      </c>
      <c r="M82" s="33"/>
      <c r="N82" s="21"/>
      <c r="O82" s="21"/>
      <c r="P82" s="21"/>
      <c r="Q82" s="21"/>
      <c r="R82" s="21"/>
      <c r="S82" s="21"/>
      <c r="T82" s="21"/>
      <c r="U82" s="21"/>
      <c r="V82" s="21"/>
      <c r="W82" s="21"/>
      <c r="X82" s="26"/>
      <c r="Y82" s="27"/>
    </row>
    <row r="83" spans="1:25" s="24" customFormat="1" ht="34">
      <c r="A83" s="20"/>
      <c r="B83" s="399" t="s">
        <v>1053</v>
      </c>
      <c r="C83" s="22" t="s">
        <v>1011</v>
      </c>
      <c r="D83" s="22" t="s">
        <v>1049</v>
      </c>
      <c r="E83" s="21" t="s">
        <v>867</v>
      </c>
      <c r="F83" s="21">
        <v>130676015</v>
      </c>
      <c r="G83" s="176">
        <v>10.215</v>
      </c>
      <c r="H83" s="175">
        <v>41730</v>
      </c>
      <c r="I83" s="192">
        <v>42825</v>
      </c>
      <c r="J83" s="273">
        <v>47500</v>
      </c>
      <c r="K83" s="21" t="s">
        <v>857</v>
      </c>
      <c r="L83" s="21" t="s">
        <v>0</v>
      </c>
      <c r="M83" s="86" t="s">
        <v>868</v>
      </c>
      <c r="N83" s="21"/>
      <c r="O83" s="21"/>
      <c r="P83" s="21"/>
      <c r="Q83" s="21"/>
      <c r="R83" s="21"/>
      <c r="S83" s="21"/>
      <c r="T83" s="21"/>
      <c r="U83" s="21"/>
      <c r="V83" s="21"/>
      <c r="W83" s="21"/>
      <c r="X83" s="26"/>
      <c r="Y83" s="27"/>
    </row>
    <row r="84" spans="1:25" s="24" customFormat="1" ht="68">
      <c r="A84" s="20"/>
      <c r="B84" s="358" t="s">
        <v>0</v>
      </c>
      <c r="C84" s="410" t="s">
        <v>1011</v>
      </c>
      <c r="D84" s="45" t="s">
        <v>1046</v>
      </c>
      <c r="E84" s="70" t="s">
        <v>155</v>
      </c>
      <c r="F84" s="70" t="s">
        <v>325</v>
      </c>
      <c r="G84" s="156">
        <v>10.215</v>
      </c>
      <c r="H84" s="101" t="s">
        <v>33</v>
      </c>
      <c r="I84" s="142" t="s">
        <v>274</v>
      </c>
      <c r="J84" s="72">
        <v>25000</v>
      </c>
      <c r="K84" s="70" t="s">
        <v>92</v>
      </c>
      <c r="L84" s="71" t="s">
        <v>6</v>
      </c>
      <c r="M84" s="71" t="s">
        <v>326</v>
      </c>
      <c r="N84" s="21"/>
      <c r="O84" s="21"/>
      <c r="P84" s="21"/>
      <c r="Q84" s="21"/>
      <c r="R84" s="21"/>
      <c r="S84" s="21"/>
      <c r="T84" s="21"/>
      <c r="U84" s="21"/>
      <c r="V84" s="21"/>
      <c r="W84" s="21"/>
      <c r="X84" s="26"/>
      <c r="Y84" s="27"/>
    </row>
    <row r="85" spans="1:25" s="24" customFormat="1" ht="68">
      <c r="A85" s="20"/>
      <c r="B85" s="358" t="s">
        <v>0</v>
      </c>
      <c r="C85" s="410" t="s">
        <v>1011</v>
      </c>
      <c r="D85" s="45" t="s">
        <v>1047</v>
      </c>
      <c r="E85" s="73" t="s">
        <v>329</v>
      </c>
      <c r="F85" s="73" t="s">
        <v>330</v>
      </c>
      <c r="G85" s="156">
        <v>10.215</v>
      </c>
      <c r="H85" s="101" t="s">
        <v>32</v>
      </c>
      <c r="I85" s="138" t="s">
        <v>42</v>
      </c>
      <c r="J85" s="72">
        <v>25000</v>
      </c>
      <c r="K85" s="70" t="s">
        <v>92</v>
      </c>
      <c r="L85" s="71" t="s">
        <v>6</v>
      </c>
      <c r="M85" s="71" t="s">
        <v>331</v>
      </c>
      <c r="N85" s="21"/>
      <c r="O85" s="21"/>
      <c r="P85" s="21"/>
      <c r="Q85" s="21"/>
      <c r="R85" s="21"/>
      <c r="S85" s="21"/>
      <c r="T85" s="21"/>
      <c r="U85" s="21"/>
      <c r="V85" s="21"/>
      <c r="W85" s="21"/>
      <c r="X85" s="26"/>
      <c r="Y85" s="27"/>
    </row>
    <row r="86" spans="1:25" ht="23">
      <c r="B86" s="813"/>
      <c r="C86" s="813"/>
      <c r="D86" s="813"/>
      <c r="E86" s="813"/>
      <c r="F86" s="813"/>
      <c r="G86" s="813"/>
      <c r="H86" s="813"/>
      <c r="I86" s="813"/>
      <c r="J86" s="441">
        <f>SUM(J3:J85)</f>
        <v>17103974.359999999</v>
      </c>
    </row>
    <row r="87" spans="1:25" ht="25">
      <c r="B87" s="811"/>
      <c r="C87" s="811"/>
      <c r="D87" s="811"/>
      <c r="J87" s="396"/>
    </row>
    <row r="88" spans="1:25" ht="24">
      <c r="J88" s="397"/>
    </row>
    <row r="1048374" spans="2:2" ht="17">
      <c r="B1048374" s="346" t="s">
        <v>0</v>
      </c>
    </row>
  </sheetData>
  <sortState xmlns:xlrd2="http://schemas.microsoft.com/office/spreadsheetml/2017/richdata2" ref="B3:M85">
    <sortCondition ref="D3:D85"/>
  </sortState>
  <mergeCells count="2">
    <mergeCell ref="B86:I86"/>
    <mergeCell ref="B87:D87"/>
  </mergeCells>
  <pageMargins left="0.75" right="0.75" top="1" bottom="1" header="0.5" footer="0.5"/>
  <pageSetup paperSize="9" scale="53" fitToHeight="0" orientation="landscape"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
  <sheetViews>
    <sheetView zoomScale="125" zoomScaleNormal="125" workbookViewId="0">
      <selection activeCell="I19" sqref="I19"/>
    </sheetView>
  </sheetViews>
  <sheetFormatPr baseColWidth="10" defaultColWidth="10.83203125" defaultRowHeight="16"/>
  <cols>
    <col min="1" max="1" width="4.6640625" style="25" customWidth="1"/>
    <col min="2" max="2" width="6.5" style="38" bestFit="1" customWidth="1"/>
    <col min="3" max="3" width="8" style="38" bestFit="1" customWidth="1"/>
    <col min="4" max="4" width="25.83203125" style="38" bestFit="1" customWidth="1"/>
    <col min="5" max="5" width="19.6640625" style="38" bestFit="1" customWidth="1"/>
    <col min="6" max="6" width="19.33203125" style="38" bestFit="1" customWidth="1"/>
    <col min="7" max="7" width="10" style="472" bestFit="1" customWidth="1"/>
    <col min="8" max="8" width="8.6640625" style="38" bestFit="1" customWidth="1"/>
    <col min="9" max="9" width="8.1640625" style="38" bestFit="1" customWidth="1"/>
    <col min="10" max="10" width="17.83203125" style="38" bestFit="1" customWidth="1"/>
    <col min="11" max="11" width="16.5" style="38" bestFit="1" customWidth="1"/>
    <col min="12" max="12" width="9" style="38" customWidth="1"/>
    <col min="13" max="13" width="36.6640625" style="38" customWidth="1"/>
    <col min="14" max="14" width="10.83203125" style="25" hidden="1" customWidth="1"/>
    <col min="15" max="15" width="12.6640625" style="25" hidden="1" customWidth="1"/>
    <col min="16" max="19" width="11.6640625" style="25" hidden="1" customWidth="1"/>
    <col min="20" max="21" width="10.6640625" style="25" hidden="1" customWidth="1"/>
    <col min="22" max="23" width="11.6640625" style="25" hidden="1" customWidth="1"/>
    <col min="24" max="24" width="12.6640625" style="25" hidden="1" customWidth="1"/>
    <col min="25" max="25" width="11" style="25" hidden="1" customWidth="1"/>
    <col min="26" max="16384" width="10.83203125" style="25"/>
  </cols>
  <sheetData>
    <row r="1" spans="1:25" s="306" customFormat="1" ht="111" thickBot="1">
      <c r="A1" s="307"/>
      <c r="B1" s="308" t="s">
        <v>7</v>
      </c>
      <c r="C1" s="308" t="s">
        <v>12</v>
      </c>
      <c r="D1" s="308" t="s">
        <v>3</v>
      </c>
      <c r="E1" s="309" t="s">
        <v>1</v>
      </c>
      <c r="F1" s="309" t="s">
        <v>287</v>
      </c>
      <c r="G1" s="310" t="s">
        <v>64</v>
      </c>
      <c r="H1" s="311" t="s">
        <v>601</v>
      </c>
      <c r="I1" s="311" t="s">
        <v>602</v>
      </c>
      <c r="J1" s="312" t="s">
        <v>187</v>
      </c>
      <c r="K1" s="313" t="s">
        <v>603</v>
      </c>
      <c r="L1" s="314" t="s">
        <v>2</v>
      </c>
      <c r="M1" s="308" t="s">
        <v>604</v>
      </c>
      <c r="N1" s="303" t="s">
        <v>188</v>
      </c>
      <c r="O1" s="304" t="s">
        <v>189</v>
      </c>
      <c r="P1" s="304" t="s">
        <v>190</v>
      </c>
      <c r="Q1" s="304" t="s">
        <v>191</v>
      </c>
      <c r="R1" s="304" t="s">
        <v>192</v>
      </c>
      <c r="S1" s="304" t="s">
        <v>193</v>
      </c>
      <c r="T1" s="304" t="s">
        <v>194</v>
      </c>
      <c r="U1" s="304" t="s">
        <v>195</v>
      </c>
      <c r="V1" s="304" t="s">
        <v>196</v>
      </c>
      <c r="W1" s="303" t="s">
        <v>197</v>
      </c>
      <c r="X1" s="305"/>
      <c r="Y1" s="305"/>
    </row>
    <row r="2" spans="1:25" s="3" customFormat="1" ht="135">
      <c r="A2" s="31"/>
      <c r="B2" s="463" t="s">
        <v>135</v>
      </c>
      <c r="C2" s="238" t="s">
        <v>992</v>
      </c>
      <c r="D2" s="238" t="s">
        <v>700</v>
      </c>
      <c r="E2" s="238" t="s">
        <v>965</v>
      </c>
      <c r="F2" s="238" t="s">
        <v>995</v>
      </c>
      <c r="G2" s="427">
        <v>94.006</v>
      </c>
      <c r="H2" s="428" t="s">
        <v>347</v>
      </c>
      <c r="I2" s="464" t="s">
        <v>352</v>
      </c>
      <c r="J2" s="465">
        <v>485993</v>
      </c>
      <c r="K2" s="238" t="s">
        <v>996</v>
      </c>
      <c r="L2" s="238" t="s">
        <v>5</v>
      </c>
      <c r="M2" s="461" t="s">
        <v>994</v>
      </c>
      <c r="N2" s="190"/>
      <c r="O2" s="191"/>
      <c r="P2" s="191"/>
      <c r="Q2" s="191"/>
      <c r="R2" s="191"/>
      <c r="S2" s="191"/>
      <c r="T2" s="191"/>
      <c r="U2" s="191"/>
      <c r="V2" s="191"/>
      <c r="W2" s="190"/>
      <c r="X2" s="7"/>
      <c r="Y2" s="7"/>
    </row>
    <row r="3" spans="1:25" s="63" customFormat="1" ht="51">
      <c r="A3" s="57"/>
      <c r="B3" s="466" t="s">
        <v>135</v>
      </c>
      <c r="C3" s="59" t="s">
        <v>120</v>
      </c>
      <c r="D3" s="59" t="s">
        <v>375</v>
      </c>
      <c r="E3" s="59" t="s">
        <v>962</v>
      </c>
      <c r="F3" s="59" t="s">
        <v>378</v>
      </c>
      <c r="G3" s="159" t="s">
        <v>123</v>
      </c>
      <c r="H3" s="150" t="s">
        <v>308</v>
      </c>
      <c r="I3" s="147" t="s">
        <v>350</v>
      </c>
      <c r="J3" s="467">
        <v>363096</v>
      </c>
      <c r="K3" s="59" t="s">
        <v>381</v>
      </c>
      <c r="L3" s="59" t="s">
        <v>5</v>
      </c>
      <c r="M3" s="59" t="s">
        <v>384</v>
      </c>
      <c r="N3" s="62"/>
      <c r="O3" s="62">
        <v>184752</v>
      </c>
      <c r="P3" s="62"/>
      <c r="Q3" s="62">
        <v>73901</v>
      </c>
      <c r="R3" s="62">
        <v>23558</v>
      </c>
      <c r="S3" s="62">
        <v>13000</v>
      </c>
      <c r="T3" s="62">
        <v>4000</v>
      </c>
      <c r="U3" s="62">
        <v>3000</v>
      </c>
      <c r="V3" s="62">
        <v>33989</v>
      </c>
      <c r="W3" s="62">
        <v>26896</v>
      </c>
      <c r="X3" s="26">
        <f t="shared" ref="X3:X5" si="0">SUM(N3:W3)</f>
        <v>363096</v>
      </c>
      <c r="Y3" s="27">
        <f t="shared" ref="Y3:Y5" si="1">X3-J3</f>
        <v>0</v>
      </c>
    </row>
    <row r="4" spans="1:25" s="63" customFormat="1" ht="85">
      <c r="A4" s="57"/>
      <c r="B4" s="105" t="s">
        <v>135</v>
      </c>
      <c r="C4" s="59" t="s">
        <v>120</v>
      </c>
      <c r="D4" s="71" t="s">
        <v>376</v>
      </c>
      <c r="E4" s="71" t="s">
        <v>963</v>
      </c>
      <c r="F4" s="71" t="s">
        <v>379</v>
      </c>
      <c r="G4" s="160" t="s">
        <v>121</v>
      </c>
      <c r="H4" s="103" t="s">
        <v>308</v>
      </c>
      <c r="I4" s="149" t="s">
        <v>350</v>
      </c>
      <c r="J4" s="104">
        <v>297205</v>
      </c>
      <c r="K4" s="71" t="s">
        <v>382</v>
      </c>
      <c r="L4" s="71" t="s">
        <v>5</v>
      </c>
      <c r="M4" s="71" t="s">
        <v>385</v>
      </c>
      <c r="N4" s="62"/>
      <c r="O4" s="62">
        <v>161460</v>
      </c>
      <c r="P4" s="62"/>
      <c r="Q4" s="62">
        <v>62268</v>
      </c>
      <c r="R4" s="62">
        <v>6463</v>
      </c>
      <c r="S4" s="62">
        <v>3000</v>
      </c>
      <c r="T4" s="62">
        <v>3500</v>
      </c>
      <c r="U4" s="62">
        <v>1500</v>
      </c>
      <c r="V4" s="62">
        <v>38517.33</v>
      </c>
      <c r="W4" s="62">
        <v>20496.669999999998</v>
      </c>
      <c r="X4" s="26">
        <f t="shared" si="0"/>
        <v>297205</v>
      </c>
      <c r="Y4" s="27">
        <f t="shared" si="1"/>
        <v>0</v>
      </c>
    </row>
    <row r="5" spans="1:25" s="63" customFormat="1" ht="62" customHeight="1" thickBot="1">
      <c r="A5" s="57"/>
      <c r="B5" s="468" t="s">
        <v>135</v>
      </c>
      <c r="C5" s="244" t="s">
        <v>120</v>
      </c>
      <c r="D5" s="244" t="s">
        <v>377</v>
      </c>
      <c r="E5" s="244" t="s">
        <v>964</v>
      </c>
      <c r="F5" s="244" t="s">
        <v>380</v>
      </c>
      <c r="G5" s="187" t="s">
        <v>122</v>
      </c>
      <c r="H5" s="184" t="s">
        <v>308</v>
      </c>
      <c r="I5" s="469" t="s">
        <v>350</v>
      </c>
      <c r="J5" s="470">
        <v>424362</v>
      </c>
      <c r="K5" s="244" t="s">
        <v>383</v>
      </c>
      <c r="L5" s="244" t="s">
        <v>5</v>
      </c>
      <c r="M5" s="244" t="s">
        <v>386</v>
      </c>
      <c r="N5" s="62"/>
      <c r="O5" s="62">
        <v>216187</v>
      </c>
      <c r="P5" s="62"/>
      <c r="Q5" s="62">
        <v>70683</v>
      </c>
      <c r="R5" s="62">
        <v>34943</v>
      </c>
      <c r="S5" s="62">
        <v>7000</v>
      </c>
      <c r="T5" s="62">
        <v>2000</v>
      </c>
      <c r="U5" s="62">
        <v>1000</v>
      </c>
      <c r="V5" s="62">
        <v>53860</v>
      </c>
      <c r="W5" s="62">
        <v>28339</v>
      </c>
      <c r="X5" s="26">
        <f t="shared" si="0"/>
        <v>414012</v>
      </c>
      <c r="Y5" s="27">
        <f t="shared" si="1"/>
        <v>-10350</v>
      </c>
    </row>
    <row r="6" spans="1:25" ht="24" thickTop="1">
      <c r="A6" s="88"/>
      <c r="B6" s="813"/>
      <c r="C6" s="813"/>
      <c r="D6" s="813"/>
      <c r="E6" s="813"/>
      <c r="F6" s="813"/>
      <c r="G6" s="813"/>
      <c r="H6" s="813"/>
      <c r="I6" s="813"/>
      <c r="J6" s="471">
        <f>SUM(J2:J5)</f>
        <v>1570656</v>
      </c>
      <c r="M6" s="462"/>
    </row>
    <row r="7" spans="1:25" ht="25" customHeight="1">
      <c r="B7" s="811" t="s">
        <v>976</v>
      </c>
      <c r="C7" s="811"/>
      <c r="D7" s="811"/>
      <c r="E7" s="811"/>
      <c r="H7" s="473"/>
      <c r="I7" s="473"/>
    </row>
  </sheetData>
  <sortState xmlns:xlrd2="http://schemas.microsoft.com/office/spreadsheetml/2017/richdata2" ref="B2:M5">
    <sortCondition ref="D2:D5"/>
  </sortState>
  <mergeCells count="2">
    <mergeCell ref="B6:I6"/>
    <mergeCell ref="B7:E7"/>
  </mergeCells>
  <pageMargins left="0.75" right="0.75" top="1" bottom="1" header="0.5" footer="0.5"/>
  <pageSetup paperSize="9" scale="65" fitToHeight="0"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24"/>
  <sheetViews>
    <sheetView topLeftCell="A2" zoomScale="125" zoomScaleNormal="125" workbookViewId="0">
      <selection activeCell="A4" sqref="A4:XFD4"/>
    </sheetView>
  </sheetViews>
  <sheetFormatPr baseColWidth="10" defaultColWidth="11.5" defaultRowHeight="15"/>
  <cols>
    <col min="1" max="1" width="4.5" style="1" customWidth="1"/>
    <col min="2" max="2" width="11.5" style="1"/>
    <col min="3" max="3" width="11.5" style="784"/>
    <col min="4" max="4" width="40.6640625" style="1" customWidth="1"/>
    <col min="5" max="5" width="20" style="1" bestFit="1" customWidth="1"/>
    <col min="6" max="6" width="21.6640625" style="1" customWidth="1"/>
    <col min="7" max="7" width="8.5" style="165" bestFit="1" customWidth="1"/>
    <col min="8" max="8" width="12.6640625" style="172" bestFit="1" customWidth="1"/>
    <col min="9" max="9" width="10.33203125" style="268" bestFit="1" customWidth="1"/>
    <col min="10" max="10" width="17.33203125" style="269" bestFit="1" customWidth="1"/>
    <col min="11" max="11" width="18.83203125" style="1" bestFit="1" customWidth="1"/>
    <col min="12" max="12" width="8.1640625" style="1" bestFit="1" customWidth="1"/>
    <col min="13" max="13" width="45" style="1" customWidth="1"/>
    <col min="14" max="14" width="11.6640625" style="1" hidden="1" customWidth="1"/>
    <col min="15" max="15" width="12.5" style="1" hidden="1" customWidth="1"/>
    <col min="16" max="16" width="0" style="1" hidden="1" customWidth="1"/>
    <col min="17" max="20" width="11.6640625" style="1" hidden="1" customWidth="1"/>
    <col min="21" max="22" width="11" style="1" hidden="1" customWidth="1"/>
    <col min="23" max="23" width="11.6640625" style="1" hidden="1" customWidth="1"/>
    <col min="24" max="24" width="12.6640625" style="1" hidden="1" customWidth="1"/>
    <col min="25" max="25" width="11" style="1" hidden="1" customWidth="1"/>
  </cols>
  <sheetData>
    <row r="1" spans="1:25" s="306" customFormat="1" ht="111" thickBot="1">
      <c r="A1" s="307"/>
      <c r="B1" s="295" t="s">
        <v>7</v>
      </c>
      <c r="C1" s="295" t="s">
        <v>12</v>
      </c>
      <c r="D1" s="295" t="s">
        <v>3</v>
      </c>
      <c r="E1" s="281" t="s">
        <v>1</v>
      </c>
      <c r="F1" s="281" t="s">
        <v>287</v>
      </c>
      <c r="G1" s="296" t="s">
        <v>64</v>
      </c>
      <c r="H1" s="297" t="s">
        <v>601</v>
      </c>
      <c r="I1" s="297" t="s">
        <v>602</v>
      </c>
      <c r="J1" s="302" t="s">
        <v>187</v>
      </c>
      <c r="K1" s="299" t="s">
        <v>603</v>
      </c>
      <c r="L1" s="300" t="s">
        <v>2</v>
      </c>
      <c r="M1" s="295" t="s">
        <v>604</v>
      </c>
      <c r="N1" s="303" t="s">
        <v>188</v>
      </c>
      <c r="O1" s="304" t="s">
        <v>189</v>
      </c>
      <c r="P1" s="304" t="s">
        <v>190</v>
      </c>
      <c r="Q1" s="304" t="s">
        <v>191</v>
      </c>
      <c r="R1" s="304" t="s">
        <v>192</v>
      </c>
      <c r="S1" s="304" t="s">
        <v>193</v>
      </c>
      <c r="T1" s="304" t="s">
        <v>194</v>
      </c>
      <c r="U1" s="304" t="s">
        <v>195</v>
      </c>
      <c r="V1" s="304" t="s">
        <v>196</v>
      </c>
      <c r="W1" s="303" t="s">
        <v>197</v>
      </c>
      <c r="X1" s="305"/>
      <c r="Y1" s="305"/>
    </row>
    <row r="2" spans="1:25" s="3" customFormat="1" ht="51">
      <c r="A2" s="31"/>
      <c r="B2" s="236" t="s">
        <v>1416</v>
      </c>
      <c r="C2" s="238" t="s">
        <v>912</v>
      </c>
      <c r="D2" s="238" t="s">
        <v>913</v>
      </c>
      <c r="E2" s="338" t="s">
        <v>914</v>
      </c>
      <c r="F2" s="339" t="s">
        <v>915</v>
      </c>
      <c r="G2" s="240">
        <v>11.481999999999999</v>
      </c>
      <c r="H2" s="241" t="s">
        <v>916</v>
      </c>
      <c r="I2" s="340" t="s">
        <v>898</v>
      </c>
      <c r="J2" s="242">
        <v>55000</v>
      </c>
      <c r="K2" s="237" t="s">
        <v>101</v>
      </c>
      <c r="L2" s="238" t="s">
        <v>5</v>
      </c>
      <c r="M2" s="75" t="s">
        <v>917</v>
      </c>
      <c r="N2" s="190"/>
      <c r="O2" s="191"/>
      <c r="P2" s="191"/>
      <c r="Q2" s="191"/>
      <c r="R2" s="191"/>
      <c r="S2" s="191"/>
      <c r="T2" s="191"/>
      <c r="U2" s="191"/>
      <c r="V2" s="191"/>
      <c r="W2" s="190"/>
      <c r="X2" s="7"/>
      <c r="Y2" s="7"/>
    </row>
    <row r="3" spans="1:25" s="63" customFormat="1" ht="51">
      <c r="A3" s="57"/>
      <c r="B3" s="89" t="s">
        <v>1416</v>
      </c>
      <c r="C3" s="59" t="s">
        <v>243</v>
      </c>
      <c r="D3" s="59" t="s">
        <v>318</v>
      </c>
      <c r="E3" s="60" t="s">
        <v>153</v>
      </c>
      <c r="F3" s="239" t="s">
        <v>238</v>
      </c>
      <c r="G3" s="162">
        <v>15.945</v>
      </c>
      <c r="H3" s="166" t="s">
        <v>27</v>
      </c>
      <c r="I3" s="178" t="s">
        <v>908</v>
      </c>
      <c r="J3" s="61">
        <v>135021.17000000001</v>
      </c>
      <c r="K3" s="58" t="s">
        <v>101</v>
      </c>
      <c r="L3" s="59" t="s">
        <v>6</v>
      </c>
      <c r="M3" s="71" t="s">
        <v>317</v>
      </c>
      <c r="N3" s="62"/>
      <c r="O3" s="62">
        <f>14725+12000</f>
        <v>26725</v>
      </c>
      <c r="P3" s="62"/>
      <c r="Q3" s="62">
        <v>2208.75</v>
      </c>
      <c r="R3" s="62">
        <v>4395</v>
      </c>
      <c r="S3" s="62">
        <v>29000</v>
      </c>
      <c r="T3" s="62">
        <v>7464.25</v>
      </c>
      <c r="U3" s="62"/>
      <c r="V3" s="62"/>
      <c r="W3" s="62">
        <v>8690</v>
      </c>
      <c r="X3" s="26">
        <f t="shared" ref="X3:X10" si="0">SUM(N3:W3)</f>
        <v>78483</v>
      </c>
      <c r="Y3" s="27">
        <f t="shared" ref="Y3:Y10" si="1">X3-J3</f>
        <v>-56538.170000000013</v>
      </c>
    </row>
    <row r="4" spans="1:25" s="421" customFormat="1" ht="51">
      <c r="A4" s="419"/>
      <c r="B4" s="90" t="s">
        <v>1416</v>
      </c>
      <c r="C4" s="71" t="s">
        <v>1217</v>
      </c>
      <c r="D4" s="71" t="s">
        <v>1218</v>
      </c>
      <c r="E4" s="73" t="s">
        <v>1219</v>
      </c>
      <c r="F4" s="93" t="s">
        <v>1220</v>
      </c>
      <c r="G4" s="156">
        <v>11.481999999999999</v>
      </c>
      <c r="H4" s="101" t="s">
        <v>1221</v>
      </c>
      <c r="I4" s="138" t="s">
        <v>898</v>
      </c>
      <c r="J4" s="72">
        <v>400000</v>
      </c>
      <c r="K4" s="70" t="s">
        <v>1222</v>
      </c>
      <c r="L4" s="71" t="s">
        <v>5</v>
      </c>
      <c r="M4" s="71" t="s">
        <v>301</v>
      </c>
      <c r="N4" s="420"/>
      <c r="O4" s="420">
        <v>33140</v>
      </c>
      <c r="P4" s="420"/>
      <c r="Q4" s="420">
        <v>8532.07</v>
      </c>
      <c r="R4" s="420">
        <v>3570</v>
      </c>
      <c r="S4" s="420">
        <v>8750</v>
      </c>
      <c r="T4" s="420">
        <v>27515.03</v>
      </c>
      <c r="U4" s="420"/>
      <c r="V4" s="420">
        <v>2714.4</v>
      </c>
      <c r="W4" s="420">
        <v>5799.5</v>
      </c>
      <c r="X4" s="416">
        <f t="shared" si="0"/>
        <v>90021</v>
      </c>
      <c r="Y4" s="417">
        <f t="shared" si="1"/>
        <v>-309979</v>
      </c>
    </row>
    <row r="5" spans="1:25" s="421" customFormat="1" ht="51">
      <c r="A5" s="419"/>
      <c r="B5" s="90" t="s">
        <v>1416</v>
      </c>
      <c r="C5" s="71" t="s">
        <v>539</v>
      </c>
      <c r="D5" s="71" t="s">
        <v>298</v>
      </c>
      <c r="E5" s="73" t="s">
        <v>968</v>
      </c>
      <c r="F5" s="93" t="s">
        <v>299</v>
      </c>
      <c r="G5" s="156">
        <v>11.481999999999999</v>
      </c>
      <c r="H5" s="101" t="s">
        <v>300</v>
      </c>
      <c r="I5" s="138" t="s">
        <v>341</v>
      </c>
      <c r="J5" s="72">
        <f>199997*2</f>
        <v>399994</v>
      </c>
      <c r="K5" s="70" t="s">
        <v>1222</v>
      </c>
      <c r="L5" s="71" t="s">
        <v>5</v>
      </c>
      <c r="M5" s="71" t="s">
        <v>301</v>
      </c>
      <c r="N5" s="420"/>
      <c r="O5" s="420"/>
      <c r="P5" s="420"/>
      <c r="Q5" s="420"/>
      <c r="R5" s="420"/>
      <c r="S5" s="420"/>
      <c r="T5" s="420"/>
      <c r="U5" s="420"/>
      <c r="V5" s="420"/>
      <c r="W5" s="420"/>
      <c r="X5" s="416"/>
      <c r="Y5" s="417"/>
    </row>
    <row r="6" spans="1:25" s="63" customFormat="1" ht="68">
      <c r="A6" s="57"/>
      <c r="B6" s="90" t="s">
        <v>1416</v>
      </c>
      <c r="C6" s="71" t="s">
        <v>173</v>
      </c>
      <c r="D6" s="71" t="s">
        <v>316</v>
      </c>
      <c r="E6" s="73" t="s">
        <v>175</v>
      </c>
      <c r="F6" s="73" t="s">
        <v>314</v>
      </c>
      <c r="G6" s="156"/>
      <c r="H6" s="101" t="s">
        <v>176</v>
      </c>
      <c r="I6" s="138" t="s">
        <v>177</v>
      </c>
      <c r="J6" s="72">
        <v>65018</v>
      </c>
      <c r="K6" s="70" t="s">
        <v>101</v>
      </c>
      <c r="L6" s="71" t="s">
        <v>6</v>
      </c>
      <c r="M6" s="71" t="s">
        <v>315</v>
      </c>
      <c r="N6" s="62">
        <v>5559</v>
      </c>
      <c r="O6" s="62">
        <v>23863</v>
      </c>
      <c r="P6" s="62"/>
      <c r="Q6" s="62">
        <v>5400</v>
      </c>
      <c r="R6" s="62"/>
      <c r="S6" s="62">
        <v>4160</v>
      </c>
      <c r="T6" s="62">
        <v>1000</v>
      </c>
      <c r="U6" s="62"/>
      <c r="V6" s="62"/>
      <c r="W6" s="62"/>
      <c r="X6" s="26">
        <f t="shared" si="0"/>
        <v>39982</v>
      </c>
      <c r="Y6" s="27">
        <f t="shared" si="1"/>
        <v>-25036</v>
      </c>
    </row>
    <row r="7" spans="1:25" s="63" customFormat="1" ht="102">
      <c r="A7" s="57"/>
      <c r="B7" s="90" t="s">
        <v>1416</v>
      </c>
      <c r="C7" s="71" t="s">
        <v>242</v>
      </c>
      <c r="D7" s="71" t="s">
        <v>408</v>
      </c>
      <c r="E7" s="73" t="s">
        <v>104</v>
      </c>
      <c r="F7" s="73" t="s">
        <v>319</v>
      </c>
      <c r="G7" s="156">
        <v>15.65</v>
      </c>
      <c r="H7" s="101" t="s">
        <v>105</v>
      </c>
      <c r="I7" s="138" t="s">
        <v>106</v>
      </c>
      <c r="J7" s="72">
        <v>39982</v>
      </c>
      <c r="K7" s="70" t="s">
        <v>100</v>
      </c>
      <c r="L7" s="71" t="s">
        <v>5</v>
      </c>
      <c r="M7" s="71" t="s">
        <v>506</v>
      </c>
      <c r="N7" s="62"/>
      <c r="O7" s="62">
        <v>32272.720000000001</v>
      </c>
      <c r="P7" s="62"/>
      <c r="Q7" s="62">
        <v>3263.64</v>
      </c>
      <c r="R7" s="62">
        <v>15000</v>
      </c>
      <c r="S7" s="62"/>
      <c r="T7" s="62">
        <v>2600</v>
      </c>
      <c r="U7" s="62"/>
      <c r="V7" s="62"/>
      <c r="W7" s="62">
        <v>5863.64</v>
      </c>
      <c r="X7" s="26">
        <f t="shared" si="0"/>
        <v>59000</v>
      </c>
      <c r="Y7" s="27">
        <f t="shared" si="1"/>
        <v>19018</v>
      </c>
    </row>
    <row r="8" spans="1:25" s="82" customFormat="1" ht="68">
      <c r="A8" s="57"/>
      <c r="B8" s="91" t="s">
        <v>1416</v>
      </c>
      <c r="C8" s="75" t="s">
        <v>286</v>
      </c>
      <c r="D8" s="75" t="s">
        <v>305</v>
      </c>
      <c r="E8" s="77" t="s">
        <v>966</v>
      </c>
      <c r="F8" s="94" t="s">
        <v>307</v>
      </c>
      <c r="G8" s="163">
        <v>11.427</v>
      </c>
      <c r="H8" s="168" t="s">
        <v>308</v>
      </c>
      <c r="I8" s="169" t="s">
        <v>309</v>
      </c>
      <c r="J8" s="76">
        <v>214460</v>
      </c>
      <c r="K8" s="75" t="s">
        <v>310</v>
      </c>
      <c r="L8" s="75" t="s">
        <v>6</v>
      </c>
      <c r="M8" s="75" t="s">
        <v>311</v>
      </c>
      <c r="N8" s="78"/>
      <c r="O8" s="78">
        <v>41240.800000000003</v>
      </c>
      <c r="P8" s="78"/>
      <c r="Q8" s="78">
        <v>12537.13</v>
      </c>
      <c r="R8" s="78">
        <v>2050</v>
      </c>
      <c r="S8" s="78">
        <v>6526.8</v>
      </c>
      <c r="T8" s="78">
        <v>748</v>
      </c>
      <c r="U8" s="78">
        <v>5955</v>
      </c>
      <c r="V8" s="78"/>
      <c r="W8" s="78">
        <v>10906.69</v>
      </c>
      <c r="X8" s="26">
        <f t="shared" si="0"/>
        <v>79964.420000000013</v>
      </c>
      <c r="Y8" s="27">
        <f t="shared" si="1"/>
        <v>-134495.57999999999</v>
      </c>
    </row>
    <row r="9" spans="1:25" s="661" customFormat="1" ht="51">
      <c r="A9" s="652"/>
      <c r="B9" s="653" t="s">
        <v>1416</v>
      </c>
      <c r="C9" s="654" t="s">
        <v>1440</v>
      </c>
      <c r="D9" s="654" t="s">
        <v>1417</v>
      </c>
      <c r="E9" s="655"/>
      <c r="F9" s="656" t="s">
        <v>1433</v>
      </c>
      <c r="G9" s="657"/>
      <c r="H9" s="658" t="s">
        <v>1438</v>
      </c>
      <c r="I9" s="659" t="s">
        <v>1439</v>
      </c>
      <c r="J9" s="660">
        <v>69768</v>
      </c>
      <c r="K9" s="654" t="s">
        <v>1418</v>
      </c>
      <c r="L9" s="654"/>
      <c r="M9" s="654"/>
      <c r="N9" s="648"/>
      <c r="O9" s="648"/>
      <c r="P9" s="648"/>
      <c r="Q9" s="648"/>
      <c r="R9" s="648"/>
      <c r="S9" s="648"/>
      <c r="T9" s="648"/>
      <c r="U9" s="648"/>
      <c r="V9" s="648"/>
      <c r="W9" s="648"/>
      <c r="X9" s="622"/>
      <c r="Y9" s="623"/>
    </row>
    <row r="10" spans="1:25" s="82" customFormat="1" ht="34">
      <c r="A10" s="69"/>
      <c r="B10" s="90" t="s">
        <v>1416</v>
      </c>
      <c r="C10" s="71" t="s">
        <v>312</v>
      </c>
      <c r="D10" s="71" t="s">
        <v>239</v>
      </c>
      <c r="E10" s="93" t="s">
        <v>909</v>
      </c>
      <c r="F10" s="73" t="s">
        <v>240</v>
      </c>
      <c r="G10" s="156">
        <v>11.481999999999999</v>
      </c>
      <c r="H10" s="101" t="s">
        <v>540</v>
      </c>
      <c r="I10" s="142" t="s">
        <v>681</v>
      </c>
      <c r="J10" s="72">
        <v>55000</v>
      </c>
      <c r="K10" s="70" t="s">
        <v>90</v>
      </c>
      <c r="L10" s="71" t="s">
        <v>6</v>
      </c>
      <c r="M10" s="71" t="s">
        <v>313</v>
      </c>
      <c r="N10" s="69"/>
      <c r="O10" s="92">
        <v>273003.68</v>
      </c>
      <c r="P10" s="92"/>
      <c r="Q10" s="92">
        <v>98280</v>
      </c>
      <c r="R10" s="92"/>
      <c r="S10" s="92">
        <v>27000</v>
      </c>
      <c r="T10" s="92">
        <v>1710</v>
      </c>
      <c r="U10" s="92"/>
      <c r="V10" s="92"/>
      <c r="W10" s="92"/>
      <c r="X10" s="95">
        <f t="shared" si="0"/>
        <v>399993.68</v>
      </c>
      <c r="Y10" s="56">
        <f t="shared" si="1"/>
        <v>344993.68</v>
      </c>
    </row>
    <row r="11" spans="1:25" s="82" customFormat="1" ht="51">
      <c r="A11" s="69"/>
      <c r="B11" s="651" t="s">
        <v>1416</v>
      </c>
      <c r="C11" s="775" t="s">
        <v>1279</v>
      </c>
      <c r="D11" s="430" t="s">
        <v>1280</v>
      </c>
      <c r="E11" s="552" t="s">
        <v>1325</v>
      </c>
      <c r="F11" s="430" t="s">
        <v>1281</v>
      </c>
      <c r="G11" s="159"/>
      <c r="H11" s="150" t="s">
        <v>1282</v>
      </c>
      <c r="I11" s="150" t="s">
        <v>927</v>
      </c>
      <c r="J11" s="438">
        <v>72715</v>
      </c>
      <c r="K11" s="430" t="s">
        <v>90</v>
      </c>
      <c r="L11" s="430" t="s">
        <v>6</v>
      </c>
      <c r="M11" s="59" t="s">
        <v>1283</v>
      </c>
      <c r="N11" s="69"/>
      <c r="O11" s="92"/>
      <c r="P11" s="92"/>
      <c r="Q11" s="92"/>
      <c r="R11" s="92"/>
      <c r="S11" s="92"/>
      <c r="T11" s="92"/>
      <c r="U11" s="92"/>
      <c r="V11" s="92"/>
      <c r="W11" s="92"/>
      <c r="X11" s="95"/>
      <c r="Y11" s="56"/>
    </row>
    <row r="12" spans="1:25" s="82" customFormat="1" ht="68">
      <c r="A12" s="69"/>
      <c r="B12" s="90" t="s">
        <v>1416</v>
      </c>
      <c r="C12" s="71" t="s">
        <v>1001</v>
      </c>
      <c r="D12" s="71" t="s">
        <v>1000</v>
      </c>
      <c r="E12" s="73" t="s">
        <v>128</v>
      </c>
      <c r="F12" s="93" t="s">
        <v>241</v>
      </c>
      <c r="G12" s="156">
        <v>15.945</v>
      </c>
      <c r="H12" s="101" t="s">
        <v>713</v>
      </c>
      <c r="I12" s="138" t="s">
        <v>245</v>
      </c>
      <c r="J12" s="72">
        <v>79964.42</v>
      </c>
      <c r="K12" s="70" t="s">
        <v>100</v>
      </c>
      <c r="L12" s="71" t="s">
        <v>5</v>
      </c>
      <c r="M12" s="71" t="s">
        <v>321</v>
      </c>
      <c r="N12" s="69"/>
      <c r="O12" s="92">
        <v>54000</v>
      </c>
      <c r="P12" s="92"/>
      <c r="Q12" s="92">
        <v>16200</v>
      </c>
      <c r="R12" s="92">
        <v>27400</v>
      </c>
      <c r="S12" s="92">
        <v>80000</v>
      </c>
      <c r="T12" s="92">
        <v>5000</v>
      </c>
      <c r="U12" s="92"/>
      <c r="V12" s="92"/>
      <c r="W12" s="92">
        <v>31860</v>
      </c>
      <c r="X12" s="95">
        <f>SUM(N12:W12)</f>
        <v>214460</v>
      </c>
      <c r="Y12" s="56">
        <f>X12-J12</f>
        <v>134495.58000000002</v>
      </c>
    </row>
    <row r="13" spans="1:25" s="82" customFormat="1" ht="85">
      <c r="A13" s="69"/>
      <c r="B13" s="90" t="s">
        <v>1416</v>
      </c>
      <c r="C13" s="71" t="s">
        <v>69</v>
      </c>
      <c r="D13" s="71" t="s">
        <v>302</v>
      </c>
      <c r="E13" s="70" t="s">
        <v>234</v>
      </c>
      <c r="F13" s="70" t="s">
        <v>235</v>
      </c>
      <c r="G13" s="156">
        <v>11.481999999999999</v>
      </c>
      <c r="H13" s="101" t="s">
        <v>236</v>
      </c>
      <c r="I13" s="142" t="s">
        <v>237</v>
      </c>
      <c r="J13" s="72">
        <v>78583</v>
      </c>
      <c r="K13" s="71" t="s">
        <v>303</v>
      </c>
      <c r="L13" s="71" t="s">
        <v>6</v>
      </c>
      <c r="M13" s="71" t="s">
        <v>304</v>
      </c>
      <c r="N13" s="69"/>
      <c r="O13" s="92"/>
      <c r="P13" s="92"/>
      <c r="Q13" s="92"/>
      <c r="R13" s="92"/>
      <c r="S13" s="92"/>
      <c r="T13" s="92"/>
      <c r="U13" s="92"/>
      <c r="V13" s="92"/>
      <c r="W13" s="92"/>
      <c r="X13" s="95"/>
      <c r="Y13" s="56"/>
    </row>
    <row r="14" spans="1:25" s="82" customFormat="1" ht="69" thickBot="1">
      <c r="A14" s="69"/>
      <c r="B14" s="243" t="s">
        <v>1416</v>
      </c>
      <c r="C14" s="244" t="s">
        <v>680</v>
      </c>
      <c r="D14" s="244" t="s">
        <v>1240</v>
      </c>
      <c r="E14" s="245" t="s">
        <v>967</v>
      </c>
      <c r="F14" s="246"/>
      <c r="G14" s="247">
        <v>11.481999999999999</v>
      </c>
      <c r="H14" s="248" t="s">
        <v>308</v>
      </c>
      <c r="I14" s="249" t="s">
        <v>352</v>
      </c>
      <c r="J14" s="250">
        <v>48455.44</v>
      </c>
      <c r="K14" s="244" t="s">
        <v>910</v>
      </c>
      <c r="L14" s="244" t="s">
        <v>6</v>
      </c>
      <c r="M14" s="244" t="s">
        <v>911</v>
      </c>
      <c r="N14" s="69"/>
      <c r="O14" s="92"/>
      <c r="P14" s="92"/>
      <c r="Q14" s="92"/>
      <c r="R14" s="92"/>
      <c r="S14" s="92"/>
      <c r="T14" s="92"/>
      <c r="U14" s="92"/>
      <c r="V14" s="92"/>
      <c r="W14" s="92"/>
      <c r="X14" s="95"/>
      <c r="Y14" s="56"/>
    </row>
    <row r="15" spans="1:25" ht="33" customHeight="1" thickTop="1">
      <c r="B15" s="813"/>
      <c r="C15" s="813"/>
      <c r="D15" s="813"/>
      <c r="E15" s="813"/>
      <c r="F15" s="813"/>
      <c r="G15" s="813"/>
      <c r="H15" s="813"/>
      <c r="I15" s="813"/>
      <c r="J15" s="442">
        <f>SUM(J2:J14)</f>
        <v>1713961.0299999998</v>
      </c>
      <c r="K15" s="96"/>
      <c r="L15" s="96"/>
      <c r="M15" s="96"/>
      <c r="N15" s="29"/>
      <c r="O15" s="29"/>
      <c r="P15" s="29"/>
      <c r="Q15" s="29"/>
    </row>
    <row r="16" spans="1:25" s="36" customFormat="1" ht="25">
      <c r="B16" s="811" t="s">
        <v>997</v>
      </c>
      <c r="C16" s="811"/>
      <c r="D16" s="811"/>
      <c r="G16" s="164"/>
      <c r="H16" s="170"/>
      <c r="I16" s="265"/>
      <c r="J16" s="266"/>
    </row>
    <row r="17" spans="2:10" s="36" customFormat="1" ht="16">
      <c r="B17" s="39"/>
      <c r="C17" s="40"/>
      <c r="D17" s="39"/>
      <c r="E17" s="39"/>
      <c r="F17" s="39"/>
      <c r="G17" s="164"/>
      <c r="H17" s="170"/>
      <c r="I17" s="265"/>
      <c r="J17" s="266"/>
    </row>
    <row r="18" spans="2:10" s="36" customFormat="1" ht="16">
      <c r="C18" s="783"/>
      <c r="E18" s="39"/>
      <c r="G18" s="164"/>
      <c r="H18" s="171"/>
      <c r="I18" s="267"/>
      <c r="J18" s="266"/>
    </row>
    <row r="19" spans="2:10" s="36" customFormat="1" ht="16">
      <c r="C19" s="783"/>
      <c r="G19" s="164"/>
      <c r="H19" s="171"/>
      <c r="I19" s="267"/>
      <c r="J19" s="266"/>
    </row>
    <row r="20" spans="2:10" s="36" customFormat="1" ht="16">
      <c r="C20" s="783"/>
      <c r="G20" s="164"/>
      <c r="H20" s="171"/>
      <c r="I20" s="267"/>
      <c r="J20" s="266"/>
    </row>
    <row r="21" spans="2:10" s="36" customFormat="1" ht="16">
      <c r="C21" s="783"/>
      <c r="G21" s="164"/>
      <c r="H21" s="171"/>
      <c r="I21" s="267"/>
      <c r="J21" s="266"/>
    </row>
    <row r="22" spans="2:10" s="36" customFormat="1" ht="16">
      <c r="C22" s="783"/>
      <c r="G22" s="164"/>
      <c r="H22" s="171"/>
      <c r="I22" s="267"/>
      <c r="J22" s="266"/>
    </row>
    <row r="23" spans="2:10" s="36" customFormat="1" ht="16">
      <c r="C23" s="783"/>
      <c r="G23" s="164"/>
      <c r="H23" s="171"/>
      <c r="I23" s="267"/>
      <c r="J23" s="266"/>
    </row>
    <row r="24" spans="2:10" s="36" customFormat="1" ht="16">
      <c r="C24" s="783"/>
      <c r="G24" s="164"/>
      <c r="H24" s="171"/>
      <c r="I24" s="267"/>
      <c r="J24" s="266"/>
    </row>
  </sheetData>
  <sortState xmlns:xlrd2="http://schemas.microsoft.com/office/spreadsheetml/2017/richdata2" ref="B2:M14">
    <sortCondition ref="D2:D14"/>
  </sortState>
  <mergeCells count="2">
    <mergeCell ref="B15:I15"/>
    <mergeCell ref="B16:D16"/>
  </mergeCells>
  <pageMargins left="0.75" right="0.75" top="1" bottom="1" header="0.5" footer="0.5"/>
  <pageSetup paperSize="9" scale="54" fitToHeight="0" orientation="landscape" horizontalDpi="4294967292" verticalDpi="4294967292"/>
  <ignoredErrors>
    <ignoredError sqref="H8:I8 H14:I14 H9:I12" twoDigitTextYear="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54"/>
  <sheetViews>
    <sheetView tabSelected="1" zoomScale="125" zoomScaleNormal="125" workbookViewId="0">
      <pane ySplit="2" topLeftCell="A7" activePane="bottomLeft" state="frozen"/>
      <selection activeCell="E19" sqref="E19"/>
      <selection pane="bottomLeft" activeCell="D9" sqref="D9"/>
    </sheetView>
  </sheetViews>
  <sheetFormatPr baseColWidth="10" defaultColWidth="10.83203125" defaultRowHeight="16"/>
  <cols>
    <col min="1" max="1" width="3.33203125" style="25" customWidth="1"/>
    <col min="2" max="2" width="9" style="25" customWidth="1"/>
    <col min="3" max="3" width="9.83203125" style="38" customWidth="1"/>
    <col min="4" max="4" width="44.33203125" style="38" customWidth="1"/>
    <col min="5" max="5" width="19.33203125" style="38" customWidth="1"/>
    <col min="6" max="6" width="23.33203125" style="25" customWidth="1"/>
    <col min="7" max="7" width="9.6640625" style="151" bestFit="1" customWidth="1"/>
    <col min="8" max="8" width="14" style="140" bestFit="1" customWidth="1"/>
    <col min="9" max="9" width="10.33203125" style="217" bestFit="1" customWidth="1"/>
    <col min="10" max="10" width="19" style="263" bestFit="1" customWidth="1"/>
    <col min="11" max="11" width="20.83203125" style="38" bestFit="1" customWidth="1"/>
    <col min="12" max="12" width="7.83203125" style="476" customWidth="1"/>
    <col min="13" max="13" width="8.1640625" style="25" bestFit="1" customWidth="1"/>
    <col min="14" max="14" width="50.6640625" style="25" customWidth="1"/>
    <col min="15" max="15" width="13.6640625" style="25" hidden="1" customWidth="1"/>
    <col min="16" max="16" width="15.33203125" style="25" hidden="1" customWidth="1"/>
    <col min="17" max="17" width="18.5" style="25" hidden="1" customWidth="1"/>
    <col min="18" max="18" width="20.1640625" style="25" hidden="1" customWidth="1"/>
    <col min="19" max="19" width="12.6640625" style="25" hidden="1" customWidth="1"/>
    <col min="20" max="20" width="17.1640625" style="25" hidden="1" customWidth="1"/>
    <col min="21" max="21" width="16" style="25" hidden="1" customWidth="1"/>
    <col min="22" max="22" width="13.33203125" style="25" hidden="1" customWidth="1"/>
    <col min="23" max="23" width="15.33203125" style="25" hidden="1" customWidth="1"/>
    <col min="24" max="24" width="16.33203125" style="25" hidden="1" customWidth="1"/>
    <col min="25" max="25" width="14.33203125" style="25" hidden="1" customWidth="1"/>
    <col min="26" max="26" width="11.1640625" style="25" hidden="1" customWidth="1"/>
    <col min="27" max="16384" width="10.83203125" style="25"/>
  </cols>
  <sheetData>
    <row r="1" spans="1:26" ht="17" thickBot="1"/>
    <row r="2" spans="1:26" s="306" customFormat="1" ht="111" thickBot="1">
      <c r="A2" s="307"/>
      <c r="B2" s="295" t="s">
        <v>7</v>
      </c>
      <c r="C2" s="295" t="s">
        <v>12</v>
      </c>
      <c r="D2" s="295" t="s">
        <v>1371</v>
      </c>
      <c r="E2" s="281" t="s">
        <v>1</v>
      </c>
      <c r="F2" s="281" t="s">
        <v>287</v>
      </c>
      <c r="G2" s="296" t="s">
        <v>64</v>
      </c>
      <c r="H2" s="297" t="s">
        <v>601</v>
      </c>
      <c r="I2" s="297" t="s">
        <v>602</v>
      </c>
      <c r="J2" s="302" t="s">
        <v>187</v>
      </c>
      <c r="K2" s="299" t="s">
        <v>603</v>
      </c>
      <c r="L2" s="299" t="s">
        <v>1303</v>
      </c>
      <c r="M2" s="300" t="s">
        <v>2</v>
      </c>
      <c r="N2" s="295" t="s">
        <v>604</v>
      </c>
      <c r="O2" s="303" t="s">
        <v>188</v>
      </c>
      <c r="P2" s="304" t="s">
        <v>189</v>
      </c>
      <c r="Q2" s="304" t="s">
        <v>190</v>
      </c>
      <c r="R2" s="304" t="s">
        <v>191</v>
      </c>
      <c r="S2" s="304" t="s">
        <v>192</v>
      </c>
      <c r="T2" s="304" t="s">
        <v>193</v>
      </c>
      <c r="U2" s="304" t="s">
        <v>194</v>
      </c>
      <c r="V2" s="304" t="s">
        <v>195</v>
      </c>
      <c r="W2" s="304" t="s">
        <v>196</v>
      </c>
      <c r="X2" s="303" t="s">
        <v>197</v>
      </c>
      <c r="Y2" s="305"/>
      <c r="Z2" s="305"/>
    </row>
    <row r="3" spans="1:26" s="63" customFormat="1" ht="51">
      <c r="A3" s="57"/>
      <c r="B3" s="70" t="s">
        <v>16</v>
      </c>
      <c r="C3" s="71" t="s">
        <v>1326</v>
      </c>
      <c r="D3" s="71" t="s">
        <v>1199</v>
      </c>
      <c r="E3" s="93" t="s">
        <v>735</v>
      </c>
      <c r="F3" s="73" t="s">
        <v>610</v>
      </c>
      <c r="G3" s="152">
        <v>12.3</v>
      </c>
      <c r="H3" s="101" t="s">
        <v>611</v>
      </c>
      <c r="I3" s="142" t="s">
        <v>736</v>
      </c>
      <c r="J3" s="72">
        <v>117967</v>
      </c>
      <c r="K3" s="71" t="s">
        <v>99</v>
      </c>
      <c r="L3" s="477"/>
      <c r="M3" s="71" t="s">
        <v>6</v>
      </c>
      <c r="N3" s="71" t="s">
        <v>613</v>
      </c>
      <c r="O3" s="62"/>
      <c r="P3" s="62">
        <f>95800+30600+21300</f>
        <v>147700</v>
      </c>
      <c r="Q3" s="62"/>
      <c r="R3" s="62">
        <v>36925</v>
      </c>
      <c r="S3" s="62"/>
      <c r="T3" s="62">
        <v>80000</v>
      </c>
      <c r="U3" s="62"/>
      <c r="V3" s="62"/>
      <c r="W3" s="62">
        <v>70531</v>
      </c>
      <c r="X3" s="62"/>
      <c r="Y3" s="26">
        <f t="shared" ref="Y3" si="0">SUM(O3:X3)</f>
        <v>335156</v>
      </c>
      <c r="Z3" s="27">
        <f>Y3-J3</f>
        <v>217189</v>
      </c>
    </row>
    <row r="4" spans="1:26" s="63" customFormat="1" ht="51">
      <c r="A4" s="57"/>
      <c r="B4" s="70" t="s">
        <v>16</v>
      </c>
      <c r="C4" s="71" t="s">
        <v>9</v>
      </c>
      <c r="D4" s="71" t="s">
        <v>1079</v>
      </c>
      <c r="E4" s="93" t="s">
        <v>77</v>
      </c>
      <c r="F4" s="73" t="s">
        <v>198</v>
      </c>
      <c r="G4" s="152">
        <v>15.875</v>
      </c>
      <c r="H4" s="101" t="s">
        <v>23</v>
      </c>
      <c r="I4" s="138" t="s">
        <v>36</v>
      </c>
      <c r="J4" s="72">
        <v>335156</v>
      </c>
      <c r="K4" s="71" t="s">
        <v>91</v>
      </c>
      <c r="L4" s="477"/>
      <c r="M4" s="71" t="s">
        <v>6</v>
      </c>
      <c r="N4" s="71" t="s">
        <v>508</v>
      </c>
      <c r="O4" s="62"/>
      <c r="P4" s="62">
        <f>3640+13525.2</f>
        <v>17165.2</v>
      </c>
      <c r="Q4" s="62">
        <v>15444</v>
      </c>
      <c r="R4" s="62">
        <f>278.46+5545.33+1181.47</f>
        <v>7005.26</v>
      </c>
      <c r="S4" s="62"/>
      <c r="T4" s="62"/>
      <c r="U4" s="62">
        <v>385.54</v>
      </c>
      <c r="V4" s="62"/>
      <c r="W4" s="62"/>
      <c r="X4" s="62"/>
      <c r="Y4" s="26">
        <f t="shared" ref="Y4:Y26" si="1">SUM(O4:X4)</f>
        <v>40000</v>
      </c>
      <c r="Z4" s="27">
        <f>Y4-J4</f>
        <v>-295156</v>
      </c>
    </row>
    <row r="5" spans="1:26" s="63" customFormat="1" ht="34">
      <c r="A5" s="57"/>
      <c r="B5" s="70" t="s">
        <v>16</v>
      </c>
      <c r="C5" s="71" t="s">
        <v>1080</v>
      </c>
      <c r="D5" s="71" t="s">
        <v>1340</v>
      </c>
      <c r="E5" s="71" t="s">
        <v>76</v>
      </c>
      <c r="F5" s="70" t="s">
        <v>199</v>
      </c>
      <c r="G5" s="153">
        <v>15.875</v>
      </c>
      <c r="H5" s="101" t="s">
        <v>25</v>
      </c>
      <c r="I5" s="138" t="s">
        <v>38</v>
      </c>
      <c r="J5" s="72">
        <v>40000</v>
      </c>
      <c r="K5" s="413" t="s">
        <v>99</v>
      </c>
      <c r="L5" s="478"/>
      <c r="M5" s="71" t="s">
        <v>6</v>
      </c>
      <c r="N5" s="71" t="s">
        <v>200</v>
      </c>
      <c r="O5" s="62"/>
      <c r="P5" s="62">
        <v>50245</v>
      </c>
      <c r="Q5" s="62"/>
      <c r="R5" s="62">
        <v>15074</v>
      </c>
      <c r="S5" s="62">
        <f>8558+865</f>
        <v>9423</v>
      </c>
      <c r="T5" s="62"/>
      <c r="U5" s="62"/>
      <c r="V5" s="62"/>
      <c r="W5" s="62"/>
      <c r="X5" s="62">
        <v>12411</v>
      </c>
      <c r="Y5" s="26">
        <f t="shared" si="1"/>
        <v>87153</v>
      </c>
      <c r="Z5" s="27">
        <f>Y5-J5</f>
        <v>47153</v>
      </c>
    </row>
    <row r="6" spans="1:26" s="63" customFormat="1" ht="17">
      <c r="A6" s="57"/>
      <c r="B6" s="70" t="s">
        <v>16</v>
      </c>
      <c r="C6" s="71" t="s">
        <v>1072</v>
      </c>
      <c r="D6" s="71" t="s">
        <v>1346</v>
      </c>
      <c r="E6" s="93" t="s">
        <v>660</v>
      </c>
      <c r="F6" s="73" t="s">
        <v>691</v>
      </c>
      <c r="G6" s="152"/>
      <c r="H6" s="101" t="s">
        <v>692</v>
      </c>
      <c r="I6" s="142" t="s">
        <v>541</v>
      </c>
      <c r="J6" s="72">
        <v>26000</v>
      </c>
      <c r="K6" s="71" t="s">
        <v>659</v>
      </c>
      <c r="L6" s="477"/>
      <c r="M6" s="71" t="s">
        <v>5</v>
      </c>
      <c r="N6" s="71"/>
      <c r="O6" s="62"/>
      <c r="P6" s="62">
        <v>6000</v>
      </c>
      <c r="Q6" s="62"/>
      <c r="R6" s="62">
        <v>459</v>
      </c>
      <c r="S6" s="62">
        <v>5000</v>
      </c>
      <c r="T6" s="62">
        <v>7200</v>
      </c>
      <c r="U6" s="62">
        <v>2500</v>
      </c>
      <c r="V6" s="62"/>
      <c r="W6" s="62">
        <v>14841</v>
      </c>
      <c r="X6" s="62"/>
      <c r="Y6" s="26">
        <f t="shared" si="1"/>
        <v>36000</v>
      </c>
      <c r="Z6" s="27">
        <f>Y6-J6</f>
        <v>10000</v>
      </c>
    </row>
    <row r="7" spans="1:26" s="63" customFormat="1" ht="204">
      <c r="A7" s="57"/>
      <c r="B7" s="70" t="s">
        <v>16</v>
      </c>
      <c r="C7" s="71" t="s">
        <v>1326</v>
      </c>
      <c r="D7" s="71" t="s">
        <v>1187</v>
      </c>
      <c r="E7" s="93" t="s">
        <v>631</v>
      </c>
      <c r="F7" s="73" t="s">
        <v>620</v>
      </c>
      <c r="G7" s="152">
        <v>12.3</v>
      </c>
      <c r="H7" s="101" t="s">
        <v>617</v>
      </c>
      <c r="I7" s="142" t="s">
        <v>618</v>
      </c>
      <c r="J7" s="72">
        <v>99998</v>
      </c>
      <c r="K7" s="71" t="s">
        <v>15</v>
      </c>
      <c r="L7" s="477"/>
      <c r="M7" s="71" t="s">
        <v>6</v>
      </c>
      <c r="N7" s="71" t="s">
        <v>621</v>
      </c>
      <c r="O7" s="62">
        <f>27000+8563.4+14004.4</f>
        <v>49567.8</v>
      </c>
      <c r="P7" s="62">
        <f>19393.92+15400.32</f>
        <v>34794.239999999998</v>
      </c>
      <c r="Q7" s="62"/>
      <c r="R7" s="62">
        <f>18067.22</f>
        <v>18067.22</v>
      </c>
      <c r="S7" s="62">
        <v>119650</v>
      </c>
      <c r="T7" s="62"/>
      <c r="U7" s="62">
        <v>17600</v>
      </c>
      <c r="V7" s="62"/>
      <c r="W7" s="62">
        <f>10000</f>
        <v>10000</v>
      </c>
      <c r="X7" s="62">
        <v>24967.93</v>
      </c>
      <c r="Y7" s="26">
        <f t="shared" si="1"/>
        <v>274647.19</v>
      </c>
      <c r="Z7" s="27">
        <f>Y7-J7</f>
        <v>174649.19</v>
      </c>
    </row>
    <row r="8" spans="1:26" s="63" customFormat="1" ht="85">
      <c r="A8" s="57"/>
      <c r="B8" s="70" t="s">
        <v>16</v>
      </c>
      <c r="C8" s="71" t="s">
        <v>1213</v>
      </c>
      <c r="D8" s="71" t="s">
        <v>1457</v>
      </c>
      <c r="E8" s="93" t="s">
        <v>1288</v>
      </c>
      <c r="F8" s="73" t="s">
        <v>1212</v>
      </c>
      <c r="G8" s="152">
        <v>10.31</v>
      </c>
      <c r="H8" s="101" t="s">
        <v>356</v>
      </c>
      <c r="I8" s="138" t="s">
        <v>1211</v>
      </c>
      <c r="J8" s="72">
        <v>284000</v>
      </c>
      <c r="K8" s="71" t="s">
        <v>392</v>
      </c>
      <c r="L8" s="477"/>
      <c r="M8" s="71" t="s">
        <v>6</v>
      </c>
      <c r="N8" s="71" t="s">
        <v>1209</v>
      </c>
      <c r="O8" s="62"/>
      <c r="P8" s="62"/>
      <c r="Q8" s="62"/>
      <c r="R8" s="62"/>
      <c r="S8" s="62"/>
      <c r="T8" s="62"/>
      <c r="U8" s="62"/>
      <c r="V8" s="62"/>
      <c r="W8" s="62"/>
      <c r="X8" s="62"/>
      <c r="Y8" s="26"/>
      <c r="Z8" s="27"/>
    </row>
    <row r="9" spans="1:26" s="63" customFormat="1" ht="34">
      <c r="A9" s="57"/>
      <c r="B9" s="70" t="s">
        <v>16</v>
      </c>
      <c r="C9" s="71" t="s">
        <v>1071</v>
      </c>
      <c r="D9" s="105" t="s">
        <v>1347</v>
      </c>
      <c r="E9" s="93" t="s">
        <v>658</v>
      </c>
      <c r="F9" s="73"/>
      <c r="G9" s="152"/>
      <c r="H9" s="101" t="s">
        <v>682</v>
      </c>
      <c r="I9" s="142" t="s">
        <v>541</v>
      </c>
      <c r="J9" s="72">
        <v>190000</v>
      </c>
      <c r="K9" s="71" t="s">
        <v>659</v>
      </c>
      <c r="L9" s="477"/>
      <c r="M9" s="71" t="s">
        <v>6</v>
      </c>
      <c r="N9" s="71"/>
      <c r="O9" s="62"/>
      <c r="P9" s="62">
        <v>6690</v>
      </c>
      <c r="Q9" s="62">
        <f>2758+1920</f>
        <v>4678</v>
      </c>
      <c r="R9" s="62">
        <f>26+147</f>
        <v>173</v>
      </c>
      <c r="S9" s="62">
        <v>52667</v>
      </c>
      <c r="T9" s="62">
        <v>166410</v>
      </c>
      <c r="U9" s="62">
        <v>11205</v>
      </c>
      <c r="V9" s="62"/>
      <c r="W9" s="62"/>
      <c r="X9" s="62">
        <v>42319</v>
      </c>
      <c r="Y9" s="26">
        <f t="shared" si="1"/>
        <v>284142</v>
      </c>
      <c r="Z9" s="27">
        <f>Y9-J9</f>
        <v>94142</v>
      </c>
    </row>
    <row r="10" spans="1:26" s="63" customFormat="1" ht="85">
      <c r="A10" s="57"/>
      <c r="B10" s="70" t="s">
        <v>16</v>
      </c>
      <c r="C10" s="71" t="s">
        <v>1326</v>
      </c>
      <c r="D10" s="71" t="s">
        <v>1188</v>
      </c>
      <c r="E10" s="93" t="s">
        <v>630</v>
      </c>
      <c r="F10" s="73" t="s">
        <v>616</v>
      </c>
      <c r="G10" s="152">
        <v>12.3</v>
      </c>
      <c r="H10" s="101" t="s">
        <v>617</v>
      </c>
      <c r="I10" s="142" t="s">
        <v>618</v>
      </c>
      <c r="J10" s="72">
        <v>129390</v>
      </c>
      <c r="K10" s="71" t="s">
        <v>95</v>
      </c>
      <c r="L10" s="477"/>
      <c r="M10" s="71" t="s">
        <v>6</v>
      </c>
      <c r="N10" s="71" t="s">
        <v>619</v>
      </c>
      <c r="O10" s="62"/>
      <c r="P10" s="62">
        <v>68000</v>
      </c>
      <c r="Q10" s="62"/>
      <c r="R10" s="62"/>
      <c r="S10" s="62"/>
      <c r="T10" s="62">
        <f>2085831.75</f>
        <v>2085831.75</v>
      </c>
      <c r="U10" s="62"/>
      <c r="V10" s="62"/>
      <c r="W10" s="62">
        <f>140583.18+486694.07</f>
        <v>627277.25</v>
      </c>
      <c r="X10" s="62"/>
      <c r="Y10" s="26">
        <f t="shared" si="1"/>
        <v>2781109</v>
      </c>
      <c r="Z10" s="27">
        <f>Y10-J10</f>
        <v>2651719</v>
      </c>
    </row>
    <row r="11" spans="1:26" s="63" customFormat="1" ht="85">
      <c r="A11" s="57"/>
      <c r="B11" s="70" t="s">
        <v>16</v>
      </c>
      <c r="C11" s="71" t="s">
        <v>1326</v>
      </c>
      <c r="D11" s="71" t="s">
        <v>1186</v>
      </c>
      <c r="E11" s="93" t="s">
        <v>629</v>
      </c>
      <c r="F11" s="73" t="s">
        <v>605</v>
      </c>
      <c r="G11" s="152">
        <v>12.3</v>
      </c>
      <c r="H11" s="101" t="s">
        <v>606</v>
      </c>
      <c r="I11" s="142" t="s">
        <v>607</v>
      </c>
      <c r="J11" s="72">
        <f>99915*2</f>
        <v>199830</v>
      </c>
      <c r="K11" s="71" t="s">
        <v>608</v>
      </c>
      <c r="L11" s="477"/>
      <c r="M11" s="71" t="s">
        <v>6</v>
      </c>
      <c r="N11" s="71" t="s">
        <v>609</v>
      </c>
      <c r="O11" s="62">
        <v>5700</v>
      </c>
      <c r="P11" s="62">
        <f>25000+4300</f>
        <v>29300</v>
      </c>
      <c r="Q11" s="62"/>
      <c r="R11" s="62">
        <f>2000+2300+1700</f>
        <v>6000</v>
      </c>
      <c r="S11" s="62"/>
      <c r="T11" s="62"/>
      <c r="U11" s="62">
        <v>1000</v>
      </c>
      <c r="V11" s="62">
        <v>6994</v>
      </c>
      <c r="W11" s="62"/>
      <c r="X11" s="62"/>
      <c r="Y11" s="26">
        <f t="shared" si="1"/>
        <v>48994</v>
      </c>
      <c r="Z11" s="27">
        <f>Y11-J11</f>
        <v>-150836</v>
      </c>
    </row>
    <row r="12" spans="1:26" s="63" customFormat="1" ht="34">
      <c r="A12" s="57"/>
      <c r="B12" s="102" t="s">
        <v>16</v>
      </c>
      <c r="C12" s="45" t="s">
        <v>1326</v>
      </c>
      <c r="D12" s="45" t="s">
        <v>1285</v>
      </c>
      <c r="E12" s="401" t="s">
        <v>1266</v>
      </c>
      <c r="F12" s="45" t="s">
        <v>1267</v>
      </c>
      <c r="G12" s="160"/>
      <c r="H12" s="103" t="s">
        <v>1268</v>
      </c>
      <c r="I12" s="103" t="s">
        <v>1269</v>
      </c>
      <c r="J12" s="129">
        <v>43000</v>
      </c>
      <c r="K12" s="45" t="s">
        <v>1270</v>
      </c>
      <c r="L12" s="477"/>
      <c r="M12" s="45" t="s">
        <v>6</v>
      </c>
      <c r="N12" s="71" t="s">
        <v>1271</v>
      </c>
      <c r="O12" s="62"/>
      <c r="P12" s="62"/>
      <c r="Q12" s="62"/>
      <c r="R12" s="62"/>
      <c r="S12" s="62"/>
      <c r="T12" s="62"/>
      <c r="U12" s="62"/>
      <c r="V12" s="62"/>
      <c r="W12" s="62"/>
      <c r="X12" s="62"/>
      <c r="Y12" s="26"/>
      <c r="Z12" s="27"/>
    </row>
    <row r="13" spans="1:26" s="63" customFormat="1" ht="68">
      <c r="A13" s="57"/>
      <c r="B13" s="70" t="s">
        <v>16</v>
      </c>
      <c r="C13" s="71" t="s">
        <v>11</v>
      </c>
      <c r="D13" s="71" t="s">
        <v>744</v>
      </c>
      <c r="E13" s="71" t="s">
        <v>747</v>
      </c>
      <c r="F13" s="70"/>
      <c r="G13" s="152">
        <v>47.082999999999998</v>
      </c>
      <c r="H13" s="101" t="s">
        <v>59</v>
      </c>
      <c r="I13" s="138" t="s">
        <v>146</v>
      </c>
      <c r="J13" s="72">
        <v>6000000</v>
      </c>
      <c r="K13" s="71" t="s">
        <v>100</v>
      </c>
      <c r="L13" s="477"/>
      <c r="M13" s="71" t="s">
        <v>6</v>
      </c>
      <c r="N13" s="71" t="s">
        <v>509</v>
      </c>
      <c r="O13" s="62"/>
      <c r="P13" s="62">
        <v>11934.72</v>
      </c>
      <c r="Q13" s="62"/>
      <c r="R13" s="62">
        <v>1202.52</v>
      </c>
      <c r="S13" s="62">
        <v>1240</v>
      </c>
      <c r="T13" s="62"/>
      <c r="U13" s="62">
        <v>500</v>
      </c>
      <c r="V13" s="62"/>
      <c r="W13" s="62"/>
      <c r="X13" s="62">
        <v>2875.44</v>
      </c>
      <c r="Y13" s="26">
        <f t="shared" si="1"/>
        <v>17752.68</v>
      </c>
      <c r="Z13" s="27">
        <f>Y13-J13</f>
        <v>-5982247.3200000003</v>
      </c>
    </row>
    <row r="14" spans="1:26" s="63" customFormat="1" ht="34">
      <c r="A14" s="57"/>
      <c r="B14" s="70" t="s">
        <v>16</v>
      </c>
      <c r="C14" s="71" t="s">
        <v>1326</v>
      </c>
      <c r="D14" s="71" t="s">
        <v>1180</v>
      </c>
      <c r="E14" s="439" t="s">
        <v>1289</v>
      </c>
      <c r="F14" s="106" t="s">
        <v>638</v>
      </c>
      <c r="G14" s="152">
        <v>12.3</v>
      </c>
      <c r="H14" s="145" t="s">
        <v>1170</v>
      </c>
      <c r="I14" s="334" t="s">
        <v>1225</v>
      </c>
      <c r="J14" s="72">
        <v>12992</v>
      </c>
      <c r="K14" s="71" t="s">
        <v>90</v>
      </c>
      <c r="L14" s="477"/>
      <c r="M14" s="71" t="s">
        <v>6</v>
      </c>
      <c r="N14" s="71" t="s">
        <v>641</v>
      </c>
      <c r="O14" s="62"/>
      <c r="P14" s="62">
        <f>7384+3692</f>
        <v>11076</v>
      </c>
      <c r="Q14" s="62"/>
      <c r="R14" s="62">
        <f>1476.8+738.4</f>
        <v>2215.1999999999998</v>
      </c>
      <c r="S14" s="62">
        <f>2058+1920+1754</f>
        <v>5732</v>
      </c>
      <c r="T14" s="62">
        <f>2500+1000+2500</f>
        <v>6000</v>
      </c>
      <c r="U14" s="62">
        <v>7441.96</v>
      </c>
      <c r="V14" s="62"/>
      <c r="W14" s="62">
        <v>1000</v>
      </c>
      <c r="X14" s="62">
        <f>4356.56+2178.28</f>
        <v>6534.84</v>
      </c>
      <c r="Y14" s="26">
        <f t="shared" si="1"/>
        <v>40000</v>
      </c>
      <c r="Z14" s="27">
        <f>Y14-J14</f>
        <v>27008</v>
      </c>
    </row>
    <row r="15" spans="1:26" s="63" customFormat="1" ht="204">
      <c r="A15" s="57"/>
      <c r="B15" s="102" t="s">
        <v>16</v>
      </c>
      <c r="C15" s="45" t="s">
        <v>1326</v>
      </c>
      <c r="D15" s="45" t="s">
        <v>1286</v>
      </c>
      <c r="E15" s="401" t="s">
        <v>1290</v>
      </c>
      <c r="F15" s="45" t="s">
        <v>1272</v>
      </c>
      <c r="G15" s="154">
        <v>12.3</v>
      </c>
      <c r="H15" s="103" t="s">
        <v>1273</v>
      </c>
      <c r="I15" s="103" t="s">
        <v>1274</v>
      </c>
      <c r="J15" s="129">
        <v>482105</v>
      </c>
      <c r="K15" s="45" t="s">
        <v>93</v>
      </c>
      <c r="L15" s="477"/>
      <c r="M15" s="45" t="s">
        <v>6</v>
      </c>
      <c r="N15" s="71" t="s">
        <v>1275</v>
      </c>
      <c r="O15" s="62"/>
      <c r="P15" s="62"/>
      <c r="Q15" s="62"/>
      <c r="R15" s="62"/>
      <c r="S15" s="62"/>
      <c r="T15" s="62"/>
      <c r="U15" s="62"/>
      <c r="V15" s="62"/>
      <c r="W15" s="62"/>
      <c r="X15" s="62"/>
      <c r="Y15" s="26"/>
      <c r="Z15" s="27"/>
    </row>
    <row r="16" spans="1:26" s="63" customFormat="1" ht="119">
      <c r="A16" s="57"/>
      <c r="B16" s="70" t="s">
        <v>16</v>
      </c>
      <c r="C16" s="71" t="s">
        <v>148</v>
      </c>
      <c r="D16" s="71" t="s">
        <v>1329</v>
      </c>
      <c r="E16" s="93" t="s">
        <v>1409</v>
      </c>
      <c r="F16" s="73" t="s">
        <v>624</v>
      </c>
      <c r="G16" s="152">
        <v>43.008000000000003</v>
      </c>
      <c r="H16" s="101" t="s">
        <v>540</v>
      </c>
      <c r="I16" s="142" t="s">
        <v>106</v>
      </c>
      <c r="J16" s="72">
        <v>749995</v>
      </c>
      <c r="K16" s="71" t="s">
        <v>625</v>
      </c>
      <c r="L16" s="477"/>
      <c r="M16" s="71" t="s">
        <v>6</v>
      </c>
      <c r="N16" s="71" t="s">
        <v>626</v>
      </c>
      <c r="O16" s="62">
        <f>(20600+20600+38500)+(38500)+(38500)</f>
        <v>156700</v>
      </c>
      <c r="P16" s="62"/>
      <c r="Q16" s="62">
        <f>(4809+3171)+(7980)+(7980)</f>
        <v>23940</v>
      </c>
      <c r="R16" s="62">
        <f>(1079+1079+3556)+(3556)+(3556)</f>
        <v>12826</v>
      </c>
      <c r="S16" s="62">
        <f>(3100*2)+10000+10000</f>
        <v>26200</v>
      </c>
      <c r="T16" s="62">
        <f>37500*2</f>
        <v>75000</v>
      </c>
      <c r="U16" s="62">
        <f>(343*2)+(257)+(257)</f>
        <v>1200</v>
      </c>
      <c r="V16" s="62">
        <f>4000*2</f>
        <v>8000</v>
      </c>
      <c r="W16" s="62">
        <f>10249+(4644*2)</f>
        <v>19537</v>
      </c>
      <c r="X16" s="62">
        <f>(11742*2)+22715+22715+22715</f>
        <v>91629</v>
      </c>
      <c r="Y16" s="26">
        <f t="shared" si="1"/>
        <v>415032</v>
      </c>
      <c r="Z16" s="27">
        <f>Y16-J16</f>
        <v>-334963</v>
      </c>
    </row>
    <row r="17" spans="1:26" s="63" customFormat="1" ht="68">
      <c r="A17" s="57"/>
      <c r="B17" s="70" t="s">
        <v>16</v>
      </c>
      <c r="C17" s="71" t="s">
        <v>1073</v>
      </c>
      <c r="D17" s="71" t="s">
        <v>1194</v>
      </c>
      <c r="E17" s="71" t="s">
        <v>223</v>
      </c>
      <c r="F17" s="71" t="s">
        <v>690</v>
      </c>
      <c r="G17" s="154"/>
      <c r="H17" s="101" t="s">
        <v>540</v>
      </c>
      <c r="I17" s="148" t="s">
        <v>341</v>
      </c>
      <c r="J17" s="104">
        <v>289981</v>
      </c>
      <c r="K17" s="71" t="s">
        <v>49</v>
      </c>
      <c r="L17" s="477"/>
      <c r="M17" s="71" t="s">
        <v>5</v>
      </c>
      <c r="N17" s="71" t="s">
        <v>229</v>
      </c>
      <c r="O17" s="62">
        <f>91044.2+45002.24</f>
        <v>136046.44</v>
      </c>
      <c r="P17" s="62">
        <f>93843.15+93443.15+15017+12617+12117+5557+23995+73777+30793+15704+10800+10000+1700</f>
        <v>399363.3</v>
      </c>
      <c r="Q17" s="62"/>
      <c r="R17" s="62">
        <v>47204.02</v>
      </c>
      <c r="S17" s="62"/>
      <c r="T17" s="62">
        <f>104275+5580</f>
        <v>109855</v>
      </c>
      <c r="U17" s="62">
        <f>104504.38+21240</f>
        <v>125744.38</v>
      </c>
      <c r="V17" s="62"/>
      <c r="W17" s="62">
        <v>17860</v>
      </c>
      <c r="X17" s="62">
        <v>146313.94</v>
      </c>
      <c r="Y17" s="26">
        <f t="shared" si="1"/>
        <v>982387.08000000007</v>
      </c>
      <c r="Z17" s="27">
        <f>Y17-J17</f>
        <v>692406.08000000007</v>
      </c>
    </row>
    <row r="18" spans="1:26" s="110" customFormat="1" ht="17">
      <c r="A18" s="57"/>
      <c r="B18" s="70" t="s">
        <v>16</v>
      </c>
      <c r="C18" s="71" t="s">
        <v>1074</v>
      </c>
      <c r="D18" s="105" t="s">
        <v>1200</v>
      </c>
      <c r="E18" s="71" t="s">
        <v>84</v>
      </c>
      <c r="F18" s="70" t="s">
        <v>228</v>
      </c>
      <c r="G18" s="152"/>
      <c r="H18" s="101" t="s">
        <v>540</v>
      </c>
      <c r="I18" s="138" t="s">
        <v>341</v>
      </c>
      <c r="J18" s="72">
        <f>2781109</f>
        <v>2781109</v>
      </c>
      <c r="K18" s="71" t="s">
        <v>50</v>
      </c>
      <c r="L18" s="477"/>
      <c r="M18" s="71" t="s">
        <v>5</v>
      </c>
      <c r="N18" s="71" t="s">
        <v>230</v>
      </c>
      <c r="O18" s="109"/>
      <c r="P18" s="109">
        <f>16000+3000+5000+10000</f>
        <v>34000</v>
      </c>
      <c r="Q18" s="109"/>
      <c r="R18" s="109"/>
      <c r="S18" s="109">
        <f>5000+680+2200+150+8000+300+4000</f>
        <v>20330</v>
      </c>
      <c r="T18" s="109"/>
      <c r="U18" s="109">
        <f>500+700</f>
        <v>1200</v>
      </c>
      <c r="V18" s="109"/>
      <c r="W18" s="109">
        <f>300+750+250+500+500</f>
        <v>2300</v>
      </c>
      <c r="X18" s="109">
        <v>11566</v>
      </c>
      <c r="Y18" s="26">
        <f t="shared" si="1"/>
        <v>69396</v>
      </c>
      <c r="Z18" s="27">
        <f>Y18-J18</f>
        <v>-2711713</v>
      </c>
    </row>
    <row r="19" spans="1:26" s="110" customFormat="1" ht="170">
      <c r="A19" s="57"/>
      <c r="B19" s="70" t="s">
        <v>16</v>
      </c>
      <c r="C19" s="71" t="s">
        <v>1375</v>
      </c>
      <c r="D19" s="71" t="s">
        <v>1372</v>
      </c>
      <c r="E19" s="568"/>
      <c r="F19" s="73"/>
      <c r="G19" s="152"/>
      <c r="H19" s="101" t="s">
        <v>1373</v>
      </c>
      <c r="I19" s="142" t="s">
        <v>1374</v>
      </c>
      <c r="J19" s="72">
        <v>14088</v>
      </c>
      <c r="K19" s="71" t="s">
        <v>1362</v>
      </c>
      <c r="L19" s="477" t="s">
        <v>17</v>
      </c>
      <c r="M19" s="71" t="s">
        <v>6</v>
      </c>
      <c r="N19" s="71" t="s">
        <v>1363</v>
      </c>
      <c r="O19" s="109"/>
      <c r="P19" s="109"/>
      <c r="Q19" s="109"/>
      <c r="R19" s="109"/>
      <c r="S19" s="109"/>
      <c r="T19" s="109"/>
      <c r="U19" s="109"/>
      <c r="V19" s="109"/>
      <c r="W19" s="109"/>
      <c r="X19" s="109"/>
      <c r="Y19" s="26"/>
      <c r="Z19" s="27"/>
    </row>
    <row r="20" spans="1:26" s="110" customFormat="1" ht="119">
      <c r="A20" s="57"/>
      <c r="B20" s="102" t="s">
        <v>16</v>
      </c>
      <c r="C20" s="45" t="s">
        <v>1287</v>
      </c>
      <c r="D20" s="45" t="s">
        <v>1276</v>
      </c>
      <c r="E20" s="401" t="s">
        <v>156</v>
      </c>
      <c r="F20" s="45" t="s">
        <v>1277</v>
      </c>
      <c r="G20" s="160">
        <v>10.912000000000001</v>
      </c>
      <c r="H20" s="103" t="s">
        <v>36</v>
      </c>
      <c r="I20" s="103" t="s">
        <v>106</v>
      </c>
      <c r="J20" s="129">
        <v>74961</v>
      </c>
      <c r="K20" s="45" t="s">
        <v>15</v>
      </c>
      <c r="L20" s="477"/>
      <c r="M20" s="45" t="s">
        <v>6</v>
      </c>
      <c r="N20" s="71" t="s">
        <v>1278</v>
      </c>
      <c r="O20" s="109"/>
      <c r="P20" s="109"/>
      <c r="Q20" s="109"/>
      <c r="R20" s="109"/>
      <c r="S20" s="109"/>
      <c r="T20" s="109"/>
      <c r="U20" s="109"/>
      <c r="V20" s="109"/>
      <c r="W20" s="109"/>
      <c r="X20" s="109"/>
      <c r="Y20" s="26"/>
      <c r="Z20" s="27"/>
    </row>
    <row r="21" spans="1:26" s="63" customFormat="1" ht="51">
      <c r="A21" s="57"/>
      <c r="B21" s="71" t="s">
        <v>16</v>
      </c>
      <c r="C21" s="71" t="s">
        <v>1075</v>
      </c>
      <c r="D21" s="71" t="s">
        <v>1348</v>
      </c>
      <c r="E21" s="71" t="s">
        <v>75</v>
      </c>
      <c r="F21" s="70" t="s">
        <v>204</v>
      </c>
      <c r="G21" s="154"/>
      <c r="H21" s="101" t="s">
        <v>24</v>
      </c>
      <c r="I21" s="138" t="s">
        <v>36</v>
      </c>
      <c r="J21" s="104">
        <v>48994</v>
      </c>
      <c r="K21" s="71" t="s">
        <v>206</v>
      </c>
      <c r="L21" s="477"/>
      <c r="M21" s="71" t="s">
        <v>6</v>
      </c>
      <c r="N21" s="71" t="s">
        <v>205</v>
      </c>
      <c r="O21" s="62"/>
      <c r="P21" s="62">
        <f>18000+43908.75</f>
        <v>61908.75</v>
      </c>
      <c r="Q21" s="62">
        <v>17220</v>
      </c>
      <c r="R21" s="62">
        <v>17202.75</v>
      </c>
      <c r="S21" s="62"/>
      <c r="T21" s="62"/>
      <c r="U21" s="62"/>
      <c r="V21" s="62"/>
      <c r="W21" s="62"/>
      <c r="X21" s="62">
        <v>3568.5</v>
      </c>
      <c r="Y21" s="26">
        <f t="shared" si="1"/>
        <v>99900</v>
      </c>
      <c r="Z21" s="27">
        <f>Y21-J21</f>
        <v>50906</v>
      </c>
    </row>
    <row r="22" spans="1:26" s="63" customFormat="1" ht="102">
      <c r="A22" s="57"/>
      <c r="B22" s="70" t="s">
        <v>16</v>
      </c>
      <c r="C22" s="71" t="s">
        <v>1326</v>
      </c>
      <c r="D22" s="71" t="s">
        <v>1190</v>
      </c>
      <c r="E22" s="93" t="s">
        <v>737</v>
      </c>
      <c r="F22" s="73" t="s">
        <v>614</v>
      </c>
      <c r="G22" s="152">
        <v>12.3</v>
      </c>
      <c r="H22" s="101" t="s">
        <v>611</v>
      </c>
      <c r="I22" s="142" t="s">
        <v>612</v>
      </c>
      <c r="J22" s="72">
        <f>208986+140000</f>
        <v>348986</v>
      </c>
      <c r="K22" s="71" t="s">
        <v>61</v>
      </c>
      <c r="L22" s="477"/>
      <c r="M22" s="71" t="s">
        <v>6</v>
      </c>
      <c r="N22" s="71" t="s">
        <v>615</v>
      </c>
      <c r="O22" s="62"/>
      <c r="P22" s="62">
        <v>305479.24</v>
      </c>
      <c r="Q22" s="62"/>
      <c r="R22" s="62">
        <v>109034.93</v>
      </c>
      <c r="S22" s="62">
        <f>20103.47+20000</f>
        <v>40103.47</v>
      </c>
      <c r="T22" s="62">
        <f>104460</f>
        <v>104460</v>
      </c>
      <c r="U22" s="62">
        <v>70923.47</v>
      </c>
      <c r="V22" s="62"/>
      <c r="W22" s="62">
        <f>21767.22+214108.5+10000</f>
        <v>245875.72</v>
      </c>
      <c r="X22" s="62">
        <v>174123.17</v>
      </c>
      <c r="Y22" s="26">
        <f t="shared" si="1"/>
        <v>1050000</v>
      </c>
      <c r="Z22" s="27">
        <f>Y22-J22</f>
        <v>701014</v>
      </c>
    </row>
    <row r="23" spans="1:26" s="63" customFormat="1" ht="17">
      <c r="A23" s="57"/>
      <c r="B23" s="70" t="s">
        <v>16</v>
      </c>
      <c r="C23" s="71" t="s">
        <v>1072</v>
      </c>
      <c r="D23" s="71" t="s">
        <v>1335</v>
      </c>
      <c r="E23" s="93" t="s">
        <v>694</v>
      </c>
      <c r="F23" s="412" t="s">
        <v>693</v>
      </c>
      <c r="G23" s="152"/>
      <c r="H23" s="101" t="s">
        <v>695</v>
      </c>
      <c r="I23" s="142" t="s">
        <v>661</v>
      </c>
      <c r="J23" s="72">
        <v>51663</v>
      </c>
      <c r="K23" s="71" t="s">
        <v>659</v>
      </c>
      <c r="L23" s="477"/>
      <c r="M23" s="71" t="s">
        <v>5</v>
      </c>
      <c r="N23" s="71"/>
      <c r="O23" s="62"/>
      <c r="P23" s="62"/>
      <c r="Q23" s="62"/>
      <c r="R23" s="62"/>
      <c r="S23" s="62"/>
      <c r="T23" s="62"/>
      <c r="U23" s="62"/>
      <c r="V23" s="62"/>
      <c r="W23" s="62"/>
      <c r="X23" s="62"/>
      <c r="Y23" s="26"/>
      <c r="Z23" s="27"/>
    </row>
    <row r="24" spans="1:26" s="63" customFormat="1" ht="51">
      <c r="A24" s="57"/>
      <c r="B24" s="70" t="s">
        <v>16</v>
      </c>
      <c r="C24" s="71" t="s">
        <v>646</v>
      </c>
      <c r="D24" s="71" t="s">
        <v>743</v>
      </c>
      <c r="E24" s="93" t="s">
        <v>647</v>
      </c>
      <c r="F24" s="73"/>
      <c r="G24" s="152"/>
      <c r="H24" s="101" t="s">
        <v>649</v>
      </c>
      <c r="I24" s="138" t="s">
        <v>648</v>
      </c>
      <c r="J24" s="72">
        <v>8458</v>
      </c>
      <c r="K24" s="71" t="s">
        <v>650</v>
      </c>
      <c r="L24" s="477"/>
      <c r="M24" s="71" t="s">
        <v>6</v>
      </c>
      <c r="N24" s="112"/>
      <c r="O24" s="62">
        <f>32614+6240</f>
        <v>38854</v>
      </c>
      <c r="P24" s="62">
        <f>22582+11058+(6452*3)+8256</f>
        <v>61252</v>
      </c>
      <c r="Q24" s="62"/>
      <c r="R24" s="62">
        <v>5014</v>
      </c>
      <c r="S24" s="62"/>
      <c r="T24" s="62">
        <f>25000+3000</f>
        <v>28000</v>
      </c>
      <c r="U24" s="62">
        <v>46858</v>
      </c>
      <c r="V24" s="62"/>
      <c r="W24" s="62">
        <v>2440</v>
      </c>
      <c r="X24" s="62">
        <v>31923</v>
      </c>
      <c r="Y24" s="26">
        <f t="shared" si="1"/>
        <v>214341</v>
      </c>
      <c r="Z24" s="27">
        <f t="shared" ref="Z24:Z34" si="2">Y24-J24</f>
        <v>205883</v>
      </c>
    </row>
    <row r="25" spans="1:26" s="63" customFormat="1" ht="68">
      <c r="A25" s="57"/>
      <c r="B25" s="70" t="s">
        <v>16</v>
      </c>
      <c r="C25" s="45" t="s">
        <v>1320</v>
      </c>
      <c r="D25" s="45" t="s">
        <v>1316</v>
      </c>
      <c r="E25" s="439" t="s">
        <v>1449</v>
      </c>
      <c r="F25" s="550" t="s">
        <v>1315</v>
      </c>
      <c r="G25" s="152">
        <v>12.3</v>
      </c>
      <c r="H25" s="101" t="s">
        <v>162</v>
      </c>
      <c r="I25" s="142" t="s">
        <v>1318</v>
      </c>
      <c r="J25" s="448">
        <v>559909</v>
      </c>
      <c r="K25" s="102" t="s">
        <v>1317</v>
      </c>
      <c r="L25" s="477" t="s">
        <v>0</v>
      </c>
      <c r="M25" s="45" t="s">
        <v>16</v>
      </c>
      <c r="N25" s="45" t="s">
        <v>1319</v>
      </c>
      <c r="O25" s="62"/>
      <c r="P25" s="62"/>
      <c r="Q25" s="62"/>
      <c r="R25" s="62"/>
      <c r="S25" s="62"/>
      <c r="T25" s="62"/>
      <c r="U25" s="62"/>
      <c r="V25" s="62"/>
      <c r="W25" s="62"/>
      <c r="X25" s="62"/>
      <c r="Y25" s="26"/>
      <c r="Z25" s="27"/>
    </row>
    <row r="26" spans="1:26" s="63" customFormat="1" ht="51">
      <c r="A26" s="57"/>
      <c r="B26" s="70" t="s">
        <v>16</v>
      </c>
      <c r="C26" s="71" t="s">
        <v>1326</v>
      </c>
      <c r="D26" s="71" t="s">
        <v>745</v>
      </c>
      <c r="E26" s="71" t="s">
        <v>83</v>
      </c>
      <c r="F26" s="70" t="s">
        <v>143</v>
      </c>
      <c r="G26" s="152">
        <v>12.3</v>
      </c>
      <c r="H26" s="101" t="s">
        <v>30</v>
      </c>
      <c r="I26" s="138" t="s">
        <v>698</v>
      </c>
      <c r="J26" s="72">
        <v>515718</v>
      </c>
      <c r="K26" s="71" t="s">
        <v>202</v>
      </c>
      <c r="L26" s="477"/>
      <c r="M26" s="71" t="s">
        <v>6</v>
      </c>
      <c r="N26" s="71" t="s">
        <v>203</v>
      </c>
      <c r="O26" s="62"/>
      <c r="P26" s="62">
        <f>346607+344444+344444+268113+268113</f>
        <v>1571721</v>
      </c>
      <c r="Q26" s="62"/>
      <c r="R26" s="62">
        <f>135175+134330+134331+104564+104564</f>
        <v>612964</v>
      </c>
      <c r="S26" s="62">
        <f>18223+41123+18223+33601+17122</f>
        <v>128292</v>
      </c>
      <c r="T26" s="62">
        <f>48589+46449+46449+4708+4708</f>
        <v>150903</v>
      </c>
      <c r="U26" s="62">
        <f>14268+11414+11236+2675+2675</f>
        <v>42268</v>
      </c>
      <c r="V26" s="62"/>
      <c r="W26" s="62">
        <f>43326+143951+185285+405690+303616</f>
        <v>1081868</v>
      </c>
      <c r="X26" s="62">
        <f>204498+203222+203222+158187+158187</f>
        <v>927316</v>
      </c>
      <c r="Y26" s="26">
        <f t="shared" si="1"/>
        <v>4515332</v>
      </c>
      <c r="Z26" s="27">
        <f t="shared" si="2"/>
        <v>3999614</v>
      </c>
    </row>
    <row r="27" spans="1:26" s="63" customFormat="1" ht="68">
      <c r="A27" s="57"/>
      <c r="B27" s="70" t="s">
        <v>16</v>
      </c>
      <c r="C27" s="71" t="s">
        <v>148</v>
      </c>
      <c r="D27" s="71" t="s">
        <v>1327</v>
      </c>
      <c r="E27" s="71" t="s">
        <v>81</v>
      </c>
      <c r="F27" s="70" t="s">
        <v>201</v>
      </c>
      <c r="G27" s="152">
        <v>43.008000000000003</v>
      </c>
      <c r="H27" s="101" t="s">
        <v>57</v>
      </c>
      <c r="I27" s="138" t="s">
        <v>733</v>
      </c>
      <c r="J27" s="72">
        <v>399558.89</v>
      </c>
      <c r="K27" s="71" t="s">
        <v>91</v>
      </c>
      <c r="L27" s="477" t="s">
        <v>556</v>
      </c>
      <c r="M27" s="71" t="s">
        <v>6</v>
      </c>
      <c r="N27" s="71" t="s">
        <v>510</v>
      </c>
      <c r="O27" s="62">
        <v>3249</v>
      </c>
      <c r="P27" s="62">
        <f>7500</f>
        <v>7500</v>
      </c>
      <c r="Q27" s="62"/>
      <c r="R27" s="62">
        <f>4192</f>
        <v>4192</v>
      </c>
      <c r="S27" s="62">
        <v>5950</v>
      </c>
      <c r="T27" s="62"/>
      <c r="U27" s="62">
        <v>665</v>
      </c>
      <c r="V27" s="62"/>
      <c r="W27" s="62">
        <v>350</v>
      </c>
      <c r="X27" s="62">
        <v>6342</v>
      </c>
      <c r="Y27" s="26">
        <f t="shared" ref="Y27" si="3">SUM(O27:X27)</f>
        <v>28248</v>
      </c>
      <c r="Z27" s="27">
        <f t="shared" si="2"/>
        <v>-371310.89</v>
      </c>
    </row>
    <row r="28" spans="1:26" s="63" customFormat="1" ht="102">
      <c r="A28" s="57"/>
      <c r="B28" s="70" t="s">
        <v>16</v>
      </c>
      <c r="C28" s="71" t="s">
        <v>11</v>
      </c>
      <c r="D28" s="71" t="s">
        <v>740</v>
      </c>
      <c r="E28" s="93" t="s">
        <v>742</v>
      </c>
      <c r="F28" s="111">
        <v>1744436</v>
      </c>
      <c r="G28" s="152"/>
      <c r="H28" s="101" t="s">
        <v>540</v>
      </c>
      <c r="I28" s="142" t="s">
        <v>541</v>
      </c>
      <c r="J28" s="72">
        <v>299976</v>
      </c>
      <c r="K28" s="71" t="s">
        <v>542</v>
      </c>
      <c r="L28" s="477"/>
      <c r="M28" s="71" t="s">
        <v>306</v>
      </c>
      <c r="N28" s="71" t="s">
        <v>543</v>
      </c>
      <c r="O28" s="62">
        <f>(1337+5856+7274+(1000*5))*2</f>
        <v>38934</v>
      </c>
      <c r="P28" s="62">
        <f>(6228+16640)*2</f>
        <v>45736</v>
      </c>
      <c r="Q28" s="62"/>
      <c r="R28" s="62">
        <f>4573*2</f>
        <v>9146</v>
      </c>
      <c r="S28" s="62">
        <f>20075*2</f>
        <v>40150</v>
      </c>
      <c r="T28" s="62"/>
      <c r="U28" s="62">
        <f>4977*2</f>
        <v>9954</v>
      </c>
      <c r="V28" s="62"/>
      <c r="W28" s="62">
        <f>(52500+3500)*2</f>
        <v>112000</v>
      </c>
      <c r="X28" s="62">
        <f>22028*2</f>
        <v>44056</v>
      </c>
      <c r="Y28" s="26">
        <f>SUM(O28:X28)</f>
        <v>299976</v>
      </c>
      <c r="Z28" s="27">
        <f t="shared" si="2"/>
        <v>0</v>
      </c>
    </row>
    <row r="29" spans="1:26" s="63" customFormat="1" ht="34">
      <c r="A29" s="57"/>
      <c r="B29" s="70" t="s">
        <v>16</v>
      </c>
      <c r="C29" s="71" t="s">
        <v>1077</v>
      </c>
      <c r="D29" s="71" t="s">
        <v>1076</v>
      </c>
      <c r="E29" s="71" t="s">
        <v>149</v>
      </c>
      <c r="F29" s="70"/>
      <c r="G29" s="153">
        <v>93.283000000000001</v>
      </c>
      <c r="H29" s="101" t="s">
        <v>40</v>
      </c>
      <c r="I29" s="142" t="s">
        <v>222</v>
      </c>
      <c r="J29" s="72">
        <f>87153</f>
        <v>87153</v>
      </c>
      <c r="K29" s="413" t="s">
        <v>776</v>
      </c>
      <c r="L29" s="478"/>
      <c r="M29" s="71" t="s">
        <v>6</v>
      </c>
      <c r="N29" s="71" t="s">
        <v>227</v>
      </c>
      <c r="O29" s="62">
        <v>15297</v>
      </c>
      <c r="P29" s="62"/>
      <c r="Q29" s="62">
        <v>4864</v>
      </c>
      <c r="R29" s="62">
        <v>973</v>
      </c>
      <c r="S29" s="62"/>
      <c r="T29" s="62">
        <f>57000+3900</f>
        <v>60900</v>
      </c>
      <c r="U29" s="62">
        <v>3000</v>
      </c>
      <c r="V29" s="62"/>
      <c r="W29" s="62"/>
      <c r="X29" s="62">
        <v>14881</v>
      </c>
      <c r="Y29" s="26">
        <f>SUM(O29:X29)</f>
        <v>99915</v>
      </c>
      <c r="Z29" s="27">
        <f t="shared" si="2"/>
        <v>12762</v>
      </c>
    </row>
    <row r="30" spans="1:26" s="63" customFormat="1" ht="34">
      <c r="A30" s="57"/>
      <c r="B30" s="70" t="s">
        <v>16</v>
      </c>
      <c r="C30" s="71" t="s">
        <v>595</v>
      </c>
      <c r="D30" s="71" t="s">
        <v>1205</v>
      </c>
      <c r="E30" s="93" t="s">
        <v>670</v>
      </c>
      <c r="F30" s="73"/>
      <c r="G30" s="152"/>
      <c r="H30" s="101" t="s">
        <v>671</v>
      </c>
      <c r="I30" s="142" t="s">
        <v>364</v>
      </c>
      <c r="J30" s="72">
        <v>87620</v>
      </c>
      <c r="K30" s="71"/>
      <c r="L30" s="477"/>
      <c r="M30" s="71" t="s">
        <v>6</v>
      </c>
      <c r="N30" s="71"/>
      <c r="O30" s="62">
        <v>22320</v>
      </c>
      <c r="P30" s="62">
        <v>90000</v>
      </c>
      <c r="Q30" s="62"/>
      <c r="R30" s="62">
        <v>18000</v>
      </c>
      <c r="S30" s="62">
        <v>21040</v>
      </c>
      <c r="T30" s="62">
        <f>7500+4000+1000</f>
        <v>12500</v>
      </c>
      <c r="U30" s="62">
        <v>14000</v>
      </c>
      <c r="V30" s="62"/>
      <c r="W30" s="62"/>
      <c r="X30" s="62">
        <v>31126</v>
      </c>
      <c r="Y30" s="26">
        <f t="shared" ref="Y30:Y33" si="4">SUM(O30:X30)</f>
        <v>208986</v>
      </c>
      <c r="Z30" s="27">
        <f t="shared" si="2"/>
        <v>121366</v>
      </c>
    </row>
    <row r="31" spans="1:26" s="63" customFormat="1" ht="68">
      <c r="A31" s="57"/>
      <c r="B31" s="70" t="s">
        <v>16</v>
      </c>
      <c r="C31" s="71" t="s">
        <v>1330</v>
      </c>
      <c r="D31" s="71" t="s">
        <v>1332</v>
      </c>
      <c r="E31" s="93" t="s">
        <v>145</v>
      </c>
      <c r="F31" s="73"/>
      <c r="G31" s="152"/>
      <c r="H31" s="101" t="s">
        <v>26</v>
      </c>
      <c r="I31" s="138" t="s">
        <v>106</v>
      </c>
      <c r="J31" s="72">
        <v>40000</v>
      </c>
      <c r="K31" s="71" t="s">
        <v>99</v>
      </c>
      <c r="L31" s="477"/>
      <c r="M31" s="71" t="s">
        <v>6</v>
      </c>
      <c r="N31" s="71" t="s">
        <v>210</v>
      </c>
      <c r="O31" s="62">
        <f>32500+7254</f>
        <v>39754</v>
      </c>
      <c r="P31" s="62">
        <v>44928</v>
      </c>
      <c r="Q31" s="62"/>
      <c r="R31" s="62">
        <v>3437</v>
      </c>
      <c r="S31" s="62"/>
      <c r="T31" s="62">
        <f>1000+1000</f>
        <v>2000</v>
      </c>
      <c r="U31" s="62">
        <v>20000</v>
      </c>
      <c r="V31" s="62"/>
      <c r="W31" s="62"/>
      <c r="X31" s="62">
        <v>19271</v>
      </c>
      <c r="Y31" s="26">
        <f t="shared" si="4"/>
        <v>129390</v>
      </c>
      <c r="Z31" s="27">
        <f t="shared" si="2"/>
        <v>89390</v>
      </c>
    </row>
    <row r="32" spans="1:26" s="63" customFormat="1" ht="85">
      <c r="A32" s="57"/>
      <c r="B32" s="70" t="s">
        <v>16</v>
      </c>
      <c r="C32" s="71" t="s">
        <v>1081</v>
      </c>
      <c r="D32" s="71" t="s">
        <v>1333</v>
      </c>
      <c r="E32" s="71" t="s">
        <v>750</v>
      </c>
      <c r="F32" s="70" t="s">
        <v>211</v>
      </c>
      <c r="G32" s="152">
        <v>15.82</v>
      </c>
      <c r="H32" s="101" t="s">
        <v>540</v>
      </c>
      <c r="I32" s="138" t="s">
        <v>710</v>
      </c>
      <c r="J32" s="72">
        <v>487032</v>
      </c>
      <c r="K32" s="71" t="s">
        <v>91</v>
      </c>
      <c r="L32" s="477"/>
      <c r="M32" s="71" t="s">
        <v>6</v>
      </c>
      <c r="N32" s="71" t="s">
        <v>212</v>
      </c>
      <c r="O32" s="62">
        <v>9540</v>
      </c>
      <c r="P32" s="62">
        <f>8460+12288</f>
        <v>20748</v>
      </c>
      <c r="Q32" s="62"/>
      <c r="R32" s="62">
        <f>1269+138+940</f>
        <v>2347</v>
      </c>
      <c r="S32" s="62"/>
      <c r="T32" s="62">
        <f>4000+4000</f>
        <v>8000</v>
      </c>
      <c r="U32" s="62">
        <f>1140+350</f>
        <v>1490</v>
      </c>
      <c r="V32" s="62">
        <v>400</v>
      </c>
      <c r="W32" s="62"/>
      <c r="X32" s="62">
        <v>7442</v>
      </c>
      <c r="Y32" s="26">
        <f t="shared" ref="Y32" si="5">SUM(O32:X32)</f>
        <v>49967</v>
      </c>
      <c r="Z32" s="27">
        <f t="shared" ref="Z32" si="6">Y32-J32</f>
        <v>-437065</v>
      </c>
    </row>
    <row r="33" spans="1:26" s="63" customFormat="1" ht="51">
      <c r="A33" s="57"/>
      <c r="B33" s="70" t="s">
        <v>16</v>
      </c>
      <c r="C33" s="71" t="s">
        <v>1326</v>
      </c>
      <c r="D33" s="71" t="s">
        <v>1185</v>
      </c>
      <c r="E33" s="71" t="s">
        <v>1068</v>
      </c>
      <c r="F33" s="70" t="s">
        <v>144</v>
      </c>
      <c r="G33" s="152" t="s">
        <v>65</v>
      </c>
      <c r="H33" s="101" t="s">
        <v>728</v>
      </c>
      <c r="I33" s="138" t="s">
        <v>352</v>
      </c>
      <c r="J33" s="72">
        <v>982387.08</v>
      </c>
      <c r="K33" s="71" t="s">
        <v>8</v>
      </c>
      <c r="L33" s="477"/>
      <c r="M33" s="71" t="s">
        <v>6</v>
      </c>
      <c r="N33" s="71" t="s">
        <v>213</v>
      </c>
      <c r="O33" s="62">
        <f>6228</f>
        <v>6228</v>
      </c>
      <c r="P33" s="62">
        <f>15840+35360</f>
        <v>51200</v>
      </c>
      <c r="Q33" s="62"/>
      <c r="R33" s="62">
        <f>1212+2705</f>
        <v>3917</v>
      </c>
      <c r="S33" s="62"/>
      <c r="T33" s="62">
        <f>5000+1000</f>
        <v>6000</v>
      </c>
      <c r="U33" s="62">
        <f>2760+15000</f>
        <v>17760</v>
      </c>
      <c r="V33" s="62"/>
      <c r="W33" s="62"/>
      <c r="X33" s="62">
        <v>14893</v>
      </c>
      <c r="Y33" s="26">
        <f t="shared" si="4"/>
        <v>99998</v>
      </c>
      <c r="Z33" s="27">
        <f t="shared" si="2"/>
        <v>-882389.08</v>
      </c>
    </row>
    <row r="34" spans="1:26" s="63" customFormat="1" ht="51">
      <c r="A34" s="57"/>
      <c r="B34" s="70" t="s">
        <v>16</v>
      </c>
      <c r="C34" s="71" t="s">
        <v>13</v>
      </c>
      <c r="D34" s="71" t="s">
        <v>1355</v>
      </c>
      <c r="E34" s="71" t="s">
        <v>80</v>
      </c>
      <c r="F34" s="70"/>
      <c r="G34" s="152">
        <v>10.868</v>
      </c>
      <c r="H34" s="101" t="s">
        <v>35</v>
      </c>
      <c r="I34" s="138" t="s">
        <v>73</v>
      </c>
      <c r="J34" s="72">
        <v>99900</v>
      </c>
      <c r="K34" s="71" t="s">
        <v>97</v>
      </c>
      <c r="L34" s="477"/>
      <c r="M34" s="71" t="s">
        <v>6</v>
      </c>
      <c r="N34" s="71" t="s">
        <v>215</v>
      </c>
      <c r="O34" s="62"/>
      <c r="P34" s="62"/>
      <c r="Q34" s="62"/>
      <c r="R34" s="62"/>
      <c r="S34" s="62"/>
      <c r="T34" s="62"/>
      <c r="U34" s="62"/>
      <c r="V34" s="62"/>
      <c r="W34" s="62"/>
      <c r="X34" s="62"/>
      <c r="Y34" s="26">
        <f t="shared" ref="Y34" si="7">SUM(O34:X34)</f>
        <v>0</v>
      </c>
      <c r="Z34" s="27">
        <f t="shared" si="2"/>
        <v>-99900</v>
      </c>
    </row>
    <row r="35" spans="1:26" s="63" customFormat="1" ht="68">
      <c r="A35" s="57"/>
      <c r="B35" s="70" t="s">
        <v>16</v>
      </c>
      <c r="C35" s="71" t="s">
        <v>646</v>
      </c>
      <c r="D35" s="71" t="s">
        <v>652</v>
      </c>
      <c r="E35" s="93" t="s">
        <v>654</v>
      </c>
      <c r="F35" s="73"/>
      <c r="G35" s="152"/>
      <c r="H35" s="101" t="s">
        <v>657</v>
      </c>
      <c r="I35" s="142" t="s">
        <v>648</v>
      </c>
      <c r="J35" s="72">
        <v>19165</v>
      </c>
      <c r="K35" s="71" t="s">
        <v>99</v>
      </c>
      <c r="L35" s="477"/>
      <c r="M35" s="71" t="s">
        <v>6</v>
      </c>
      <c r="N35" s="71"/>
      <c r="O35" s="62"/>
      <c r="P35" s="62"/>
      <c r="Q35" s="62"/>
      <c r="R35" s="62"/>
      <c r="S35" s="62"/>
      <c r="T35" s="62"/>
      <c r="U35" s="62"/>
      <c r="V35" s="62"/>
      <c r="W35" s="62"/>
      <c r="X35" s="62"/>
      <c r="Y35" s="26"/>
      <c r="Z35" s="27"/>
    </row>
    <row r="36" spans="1:26" s="63" customFormat="1" ht="68">
      <c r="A36" s="57"/>
      <c r="B36" s="70" t="s">
        <v>16</v>
      </c>
      <c r="C36" s="71" t="s">
        <v>1354</v>
      </c>
      <c r="D36" s="71" t="s">
        <v>1376</v>
      </c>
      <c r="E36" s="568"/>
      <c r="F36" s="93" t="s">
        <v>1350</v>
      </c>
      <c r="G36" s="152"/>
      <c r="H36" s="101" t="s">
        <v>1351</v>
      </c>
      <c r="I36" s="142" t="s">
        <v>1352</v>
      </c>
      <c r="J36" s="72">
        <v>61500</v>
      </c>
      <c r="K36" s="71" t="s">
        <v>15</v>
      </c>
      <c r="L36" s="477"/>
      <c r="M36" s="71" t="s">
        <v>6</v>
      </c>
      <c r="N36" s="71" t="s">
        <v>1353</v>
      </c>
      <c r="O36" s="62"/>
      <c r="P36" s="62"/>
      <c r="Q36" s="62"/>
      <c r="R36" s="62"/>
      <c r="S36" s="62"/>
      <c r="T36" s="62"/>
      <c r="U36" s="62"/>
      <c r="V36" s="62"/>
      <c r="W36" s="62"/>
      <c r="X36" s="62"/>
      <c r="Y36" s="26"/>
      <c r="Z36" s="27"/>
    </row>
    <row r="37" spans="1:26" s="63" customFormat="1" ht="68">
      <c r="A37" s="57"/>
      <c r="B37" s="70" t="s">
        <v>16</v>
      </c>
      <c r="C37" s="71" t="s">
        <v>69</v>
      </c>
      <c r="D37" s="71" t="s">
        <v>946</v>
      </c>
      <c r="E37" s="71" t="s">
        <v>739</v>
      </c>
      <c r="F37" s="70" t="s">
        <v>159</v>
      </c>
      <c r="G37" s="152" t="s">
        <v>68</v>
      </c>
      <c r="H37" s="101" t="s">
        <v>730</v>
      </c>
      <c r="I37" s="138" t="s">
        <v>729</v>
      </c>
      <c r="J37" s="72">
        <f>(255000*4)+30000</f>
        <v>1050000</v>
      </c>
      <c r="K37" s="71" t="s">
        <v>15</v>
      </c>
      <c r="L37" s="477"/>
      <c r="M37" s="71" t="s">
        <v>6</v>
      </c>
      <c r="N37" s="71" t="s">
        <v>216</v>
      </c>
      <c r="O37" s="62"/>
      <c r="P37" s="62"/>
      <c r="Q37" s="62"/>
      <c r="R37" s="62"/>
      <c r="S37" s="62"/>
      <c r="T37" s="62"/>
      <c r="U37" s="62"/>
      <c r="V37" s="62"/>
      <c r="W37" s="62"/>
      <c r="X37" s="62"/>
      <c r="Y37" s="26"/>
      <c r="Z37" s="27"/>
    </row>
    <row r="38" spans="1:26" s="63" customFormat="1" ht="68">
      <c r="A38" s="57"/>
      <c r="B38" s="70" t="s">
        <v>16</v>
      </c>
      <c r="C38" s="71" t="s">
        <v>286</v>
      </c>
      <c r="D38" s="71" t="s">
        <v>741</v>
      </c>
      <c r="E38" s="71" t="s">
        <v>1069</v>
      </c>
      <c r="F38" s="70" t="s">
        <v>643</v>
      </c>
      <c r="G38" s="152" t="s">
        <v>68</v>
      </c>
      <c r="H38" s="101" t="s">
        <v>644</v>
      </c>
      <c r="I38" s="138" t="s">
        <v>645</v>
      </c>
      <c r="J38" s="72">
        <v>900000</v>
      </c>
      <c r="K38" s="71" t="s">
        <v>15</v>
      </c>
      <c r="L38" s="477"/>
      <c r="M38" s="71" t="s">
        <v>6</v>
      </c>
      <c r="N38" s="71" t="s">
        <v>216</v>
      </c>
      <c r="O38" s="62"/>
      <c r="P38" s="62"/>
      <c r="Q38" s="62"/>
      <c r="R38" s="62"/>
      <c r="S38" s="62"/>
      <c r="T38" s="62"/>
      <c r="U38" s="62"/>
      <c r="V38" s="62"/>
      <c r="W38" s="62"/>
      <c r="X38" s="62"/>
      <c r="Y38" s="26"/>
      <c r="Z38" s="27"/>
    </row>
    <row r="39" spans="1:26" s="63" customFormat="1" ht="68">
      <c r="A39" s="57"/>
      <c r="B39" s="70" t="s">
        <v>16</v>
      </c>
      <c r="C39" s="71" t="s">
        <v>1326</v>
      </c>
      <c r="D39" s="71" t="s">
        <v>1201</v>
      </c>
      <c r="E39" s="439" t="s">
        <v>1292</v>
      </c>
      <c r="F39" s="73" t="s">
        <v>634</v>
      </c>
      <c r="G39" s="152">
        <v>12.3</v>
      </c>
      <c r="H39" s="101" t="s">
        <v>1170</v>
      </c>
      <c r="I39" s="142" t="s">
        <v>1169</v>
      </c>
      <c r="J39" s="72">
        <v>149953</v>
      </c>
      <c r="K39" s="71" t="s">
        <v>637</v>
      </c>
      <c r="L39" s="477"/>
      <c r="M39" s="71" t="s">
        <v>6</v>
      </c>
      <c r="N39" s="255" t="s">
        <v>640</v>
      </c>
      <c r="O39" s="62"/>
      <c r="P39" s="62"/>
      <c r="Q39" s="62"/>
      <c r="R39" s="62"/>
      <c r="S39" s="62"/>
      <c r="T39" s="62"/>
      <c r="U39" s="62"/>
      <c r="V39" s="62"/>
      <c r="W39" s="62"/>
      <c r="X39" s="62"/>
      <c r="Y39" s="26"/>
      <c r="Z39" s="27"/>
    </row>
    <row r="40" spans="1:26" s="63" customFormat="1" ht="136">
      <c r="A40" s="57"/>
      <c r="B40" s="70" t="s">
        <v>16</v>
      </c>
      <c r="C40" s="71" t="s">
        <v>1326</v>
      </c>
      <c r="D40" s="71" t="s">
        <v>1183</v>
      </c>
      <c r="E40" s="93" t="s">
        <v>748</v>
      </c>
      <c r="F40" s="73" t="s">
        <v>632</v>
      </c>
      <c r="G40" s="152">
        <v>12.3</v>
      </c>
      <c r="H40" s="101" t="s">
        <v>749</v>
      </c>
      <c r="I40" s="142" t="s">
        <v>633</v>
      </c>
      <c r="J40" s="72">
        <v>139703</v>
      </c>
      <c r="K40" s="71" t="s">
        <v>15</v>
      </c>
      <c r="L40" s="477"/>
      <c r="M40" s="71" t="s">
        <v>6</v>
      </c>
      <c r="N40" s="71" t="s">
        <v>642</v>
      </c>
      <c r="O40" s="62"/>
      <c r="P40" s="62"/>
      <c r="Q40" s="62"/>
      <c r="R40" s="62"/>
      <c r="S40" s="62"/>
      <c r="T40" s="62"/>
      <c r="U40" s="62"/>
      <c r="V40" s="62"/>
      <c r="W40" s="62"/>
      <c r="X40" s="62"/>
      <c r="Y40" s="26"/>
      <c r="Z40" s="27"/>
    </row>
    <row r="41" spans="1:26" s="63" customFormat="1" ht="34">
      <c r="A41" s="57"/>
      <c r="B41" s="70" t="s">
        <v>16</v>
      </c>
      <c r="C41" s="71" t="s">
        <v>1326</v>
      </c>
      <c r="D41" s="71" t="s">
        <v>1184</v>
      </c>
      <c r="E41" s="93" t="s">
        <v>82</v>
      </c>
      <c r="F41" s="73" t="s">
        <v>142</v>
      </c>
      <c r="G41" s="152">
        <v>12.3</v>
      </c>
      <c r="H41" s="101" t="s">
        <v>29</v>
      </c>
      <c r="I41" s="138" t="s">
        <v>352</v>
      </c>
      <c r="J41" s="72">
        <v>441119</v>
      </c>
      <c r="K41" s="71" t="s">
        <v>8</v>
      </c>
      <c r="L41" s="477"/>
      <c r="M41" s="71" t="s">
        <v>6</v>
      </c>
      <c r="N41" s="71" t="s">
        <v>217</v>
      </c>
      <c r="O41" s="62"/>
      <c r="P41" s="62"/>
      <c r="Q41" s="62"/>
      <c r="R41" s="62"/>
      <c r="S41" s="62"/>
      <c r="T41" s="62"/>
      <c r="U41" s="62"/>
      <c r="V41" s="62"/>
      <c r="W41" s="62"/>
      <c r="X41" s="62"/>
      <c r="Y41" s="26"/>
      <c r="Z41" s="27"/>
    </row>
    <row r="42" spans="1:26" s="63" customFormat="1" ht="34">
      <c r="A42" s="57"/>
      <c r="B42" s="70" t="s">
        <v>16</v>
      </c>
      <c r="C42" s="71" t="s">
        <v>338</v>
      </c>
      <c r="D42" s="71" t="s">
        <v>1202</v>
      </c>
      <c r="E42" s="93" t="s">
        <v>969</v>
      </c>
      <c r="F42" s="411" t="s">
        <v>693</v>
      </c>
      <c r="G42" s="152" t="s">
        <v>900</v>
      </c>
      <c r="H42" s="101" t="s">
        <v>695</v>
      </c>
      <c r="I42" s="142" t="s">
        <v>661</v>
      </c>
      <c r="J42" s="72">
        <v>33535</v>
      </c>
      <c r="K42" s="71" t="s">
        <v>99</v>
      </c>
      <c r="L42" s="477"/>
      <c r="M42" s="71" t="s">
        <v>5</v>
      </c>
      <c r="N42" s="71"/>
      <c r="O42" s="62"/>
      <c r="P42" s="62"/>
      <c r="Q42" s="62"/>
      <c r="R42" s="62"/>
      <c r="S42" s="62"/>
      <c r="T42" s="62"/>
      <c r="U42" s="62"/>
      <c r="V42" s="62"/>
      <c r="W42" s="62"/>
      <c r="X42" s="62"/>
      <c r="Y42" s="26"/>
      <c r="Z42" s="27"/>
    </row>
    <row r="43" spans="1:26" s="63" customFormat="1" ht="112">
      <c r="A43" s="57"/>
      <c r="B43" s="287" t="s">
        <v>16</v>
      </c>
      <c r="C43" s="289" t="s">
        <v>1072</v>
      </c>
      <c r="D43" s="45" t="s">
        <v>1396</v>
      </c>
      <c r="E43" s="357" t="s">
        <v>1406</v>
      </c>
      <c r="F43" s="128" t="s">
        <v>1386</v>
      </c>
      <c r="G43" s="152">
        <v>15.875</v>
      </c>
      <c r="H43" s="101" t="s">
        <v>1260</v>
      </c>
      <c r="I43" s="142" t="s">
        <v>106</v>
      </c>
      <c r="J43" s="448">
        <v>25824</v>
      </c>
      <c r="K43" s="102" t="s">
        <v>1270</v>
      </c>
      <c r="L43" s="41" t="s">
        <v>16</v>
      </c>
      <c r="M43" s="45" t="s">
        <v>6</v>
      </c>
      <c r="N43" s="289" t="s">
        <v>1387</v>
      </c>
      <c r="O43" s="62"/>
      <c r="P43" s="62"/>
      <c r="Q43" s="62"/>
      <c r="R43" s="62"/>
      <c r="S43" s="62"/>
      <c r="T43" s="62"/>
      <c r="U43" s="62"/>
      <c r="V43" s="62"/>
      <c r="W43" s="62"/>
      <c r="X43" s="62"/>
      <c r="Y43" s="26"/>
      <c r="Z43" s="27"/>
    </row>
    <row r="44" spans="1:26" s="63" customFormat="1" ht="51">
      <c r="A44" s="57"/>
      <c r="B44" s="70" t="s">
        <v>16</v>
      </c>
      <c r="C44" s="71" t="s">
        <v>537</v>
      </c>
      <c r="D44" s="71" t="s">
        <v>1198</v>
      </c>
      <c r="E44" s="93" t="s">
        <v>150</v>
      </c>
      <c r="F44" s="73" t="s">
        <v>226</v>
      </c>
      <c r="G44" s="152">
        <v>93.397000000000006</v>
      </c>
      <c r="H44" s="101" t="s">
        <v>124</v>
      </c>
      <c r="I44" s="142" t="s">
        <v>125</v>
      </c>
      <c r="J44" s="72">
        <v>28248</v>
      </c>
      <c r="K44" s="71" t="s">
        <v>55</v>
      </c>
      <c r="L44" s="477"/>
      <c r="M44" s="71" t="s">
        <v>6</v>
      </c>
      <c r="N44" s="71" t="s">
        <v>219</v>
      </c>
      <c r="O44" s="62"/>
      <c r="P44" s="62"/>
      <c r="Q44" s="62"/>
      <c r="R44" s="62"/>
      <c r="S44" s="62"/>
      <c r="T44" s="62"/>
      <c r="U44" s="62"/>
      <c r="V44" s="62"/>
      <c r="W44" s="62"/>
      <c r="X44" s="62"/>
      <c r="Y44" s="26"/>
      <c r="Z44" s="27"/>
    </row>
    <row r="45" spans="1:26" s="63" customFormat="1" ht="136">
      <c r="A45" s="57"/>
      <c r="B45" s="70" t="s">
        <v>16</v>
      </c>
      <c r="C45" s="107" t="s">
        <v>85</v>
      </c>
      <c r="D45" s="71" t="s">
        <v>1171</v>
      </c>
      <c r="E45" s="93" t="s">
        <v>732</v>
      </c>
      <c r="F45" s="93" t="s">
        <v>218</v>
      </c>
      <c r="G45" s="152">
        <v>93.397000000000006</v>
      </c>
      <c r="H45" s="101" t="s">
        <v>60</v>
      </c>
      <c r="I45" s="138" t="s">
        <v>45</v>
      </c>
      <c r="J45" s="72">
        <f>(425494+385192)+924933+943190+977538+858985</f>
        <v>4515332</v>
      </c>
      <c r="K45" s="71" t="s">
        <v>93</v>
      </c>
      <c r="L45" s="477"/>
      <c r="M45" s="71" t="s">
        <v>6</v>
      </c>
      <c r="N45" s="71" t="s">
        <v>221</v>
      </c>
      <c r="O45" s="62"/>
      <c r="P45" s="62"/>
      <c r="Q45" s="62"/>
      <c r="R45" s="62"/>
      <c r="S45" s="62"/>
      <c r="T45" s="62"/>
      <c r="U45" s="62"/>
      <c r="V45" s="62"/>
      <c r="W45" s="62"/>
      <c r="X45" s="62"/>
      <c r="Y45" s="26"/>
      <c r="Z45" s="27"/>
    </row>
    <row r="46" spans="1:26" s="63" customFormat="1" ht="51">
      <c r="A46" s="57"/>
      <c r="B46" s="70" t="s">
        <v>16</v>
      </c>
      <c r="C46" s="71" t="s">
        <v>14</v>
      </c>
      <c r="D46" s="71" t="s">
        <v>209</v>
      </c>
      <c r="E46" s="71" t="s">
        <v>79</v>
      </c>
      <c r="F46" s="70" t="s">
        <v>208</v>
      </c>
      <c r="G46" s="152">
        <v>15.808</v>
      </c>
      <c r="H46" s="101" t="s">
        <v>33</v>
      </c>
      <c r="I46" s="138" t="s">
        <v>39</v>
      </c>
      <c r="J46" s="72">
        <v>17752.68</v>
      </c>
      <c r="K46" s="71" t="s">
        <v>207</v>
      </c>
      <c r="L46" s="477"/>
      <c r="M46" s="71" t="s">
        <v>6</v>
      </c>
      <c r="N46" s="71" t="s">
        <v>511</v>
      </c>
      <c r="O46" s="62"/>
      <c r="P46" s="62"/>
      <c r="Q46" s="62"/>
      <c r="R46" s="62"/>
      <c r="S46" s="62"/>
      <c r="T46" s="62"/>
      <c r="U46" s="62"/>
      <c r="V46" s="62"/>
      <c r="W46" s="62"/>
      <c r="X46" s="62"/>
      <c r="Y46" s="26"/>
      <c r="Z46" s="27"/>
    </row>
    <row r="47" spans="1:26" s="63" customFormat="1" ht="102">
      <c r="A47" s="57"/>
      <c r="B47" s="70" t="s">
        <v>16</v>
      </c>
      <c r="C47" s="71" t="s">
        <v>1326</v>
      </c>
      <c r="D47" s="71" t="s">
        <v>1331</v>
      </c>
      <c r="E47" s="93" t="s">
        <v>1456</v>
      </c>
      <c r="F47" s="73" t="s">
        <v>622</v>
      </c>
      <c r="G47" s="152">
        <v>12.3</v>
      </c>
      <c r="H47" s="101" t="s">
        <v>617</v>
      </c>
      <c r="I47" s="142" t="s">
        <v>714</v>
      </c>
      <c r="J47" s="72">
        <v>614402</v>
      </c>
      <c r="K47" s="71" t="s">
        <v>99</v>
      </c>
      <c r="L47" s="477"/>
      <c r="M47" s="71" t="s">
        <v>6</v>
      </c>
      <c r="N47" s="71" t="s">
        <v>623</v>
      </c>
      <c r="O47" s="62"/>
      <c r="P47" s="62"/>
      <c r="Q47" s="62"/>
      <c r="R47" s="62"/>
      <c r="S47" s="62"/>
      <c r="T47" s="62"/>
      <c r="U47" s="62"/>
      <c r="V47" s="62"/>
      <c r="W47" s="62"/>
      <c r="X47" s="62"/>
      <c r="Y47" s="26"/>
      <c r="Z47" s="27"/>
    </row>
    <row r="48" spans="1:26" s="63" customFormat="1" ht="85">
      <c r="A48" s="57"/>
      <c r="B48" s="70" t="s">
        <v>16</v>
      </c>
      <c r="C48" s="71" t="s">
        <v>1326</v>
      </c>
      <c r="D48" s="71" t="s">
        <v>1192</v>
      </c>
      <c r="E48" s="46" t="s">
        <v>1293</v>
      </c>
      <c r="F48" s="73" t="s">
        <v>639</v>
      </c>
      <c r="G48" s="152">
        <v>12.3</v>
      </c>
      <c r="H48" s="101" t="s">
        <v>1170</v>
      </c>
      <c r="I48" s="142" t="s">
        <v>1225</v>
      </c>
      <c r="J48" s="72">
        <v>179885</v>
      </c>
      <c r="K48" s="71" t="s">
        <v>608</v>
      </c>
      <c r="L48" s="477"/>
      <c r="M48" s="71" t="s">
        <v>6</v>
      </c>
      <c r="N48" s="112" t="s">
        <v>1203</v>
      </c>
      <c r="O48" s="62"/>
      <c r="P48" s="62"/>
      <c r="Q48" s="62"/>
      <c r="R48" s="62"/>
      <c r="S48" s="62"/>
      <c r="T48" s="62"/>
      <c r="U48" s="62"/>
      <c r="V48" s="62"/>
      <c r="W48" s="62"/>
      <c r="X48" s="62"/>
      <c r="Y48" s="26"/>
      <c r="Z48" s="27"/>
    </row>
    <row r="49" spans="1:26" s="63" customFormat="1" ht="34">
      <c r="A49" s="57"/>
      <c r="B49" s="70" t="s">
        <v>16</v>
      </c>
      <c r="C49" s="71" t="s">
        <v>646</v>
      </c>
      <c r="D49" s="71" t="s">
        <v>651</v>
      </c>
      <c r="E49" s="93" t="s">
        <v>653</v>
      </c>
      <c r="F49" s="73"/>
      <c r="G49" s="152"/>
      <c r="H49" s="101" t="s">
        <v>655</v>
      </c>
      <c r="I49" s="142" t="s">
        <v>656</v>
      </c>
      <c r="J49" s="72">
        <v>53378</v>
      </c>
      <c r="K49" s="71" t="s">
        <v>99</v>
      </c>
      <c r="L49" s="477"/>
      <c r="M49" s="71" t="s">
        <v>6</v>
      </c>
      <c r="N49" s="112"/>
      <c r="O49" s="62"/>
      <c r="P49" s="62"/>
      <c r="Q49" s="62"/>
      <c r="R49" s="62"/>
      <c r="S49" s="62"/>
      <c r="T49" s="62"/>
      <c r="U49" s="62"/>
      <c r="V49" s="62"/>
      <c r="W49" s="62"/>
      <c r="X49" s="62"/>
      <c r="Y49" s="26"/>
      <c r="Z49" s="27"/>
    </row>
    <row r="50" spans="1:26" ht="25" customHeight="1">
      <c r="B50" s="814"/>
      <c r="C50" s="815"/>
      <c r="D50" s="815"/>
      <c r="E50" s="815"/>
      <c r="F50" s="815"/>
      <c r="G50" s="815"/>
      <c r="H50" s="815"/>
      <c r="I50" s="816"/>
      <c r="J50" s="443">
        <f>SUM(J3:J49)</f>
        <v>24117723.649999999</v>
      </c>
      <c r="K50" s="32"/>
      <c r="L50" s="479"/>
      <c r="M50" s="32"/>
      <c r="N50" s="32"/>
      <c r="O50" s="32"/>
      <c r="P50" s="32"/>
      <c r="Q50" s="32"/>
      <c r="R50" s="32"/>
    </row>
    <row r="51" spans="1:26" ht="25">
      <c r="B51" s="811"/>
      <c r="C51" s="811"/>
      <c r="D51" s="811"/>
      <c r="H51" s="139"/>
      <c r="I51" s="215"/>
      <c r="J51" s="264"/>
    </row>
    <row r="52" spans="1:26">
      <c r="H52" s="139"/>
      <c r="I52" s="215"/>
      <c r="J52" s="264"/>
    </row>
    <row r="53" spans="1:26">
      <c r="J53" s="264"/>
    </row>
    <row r="54" spans="1:26">
      <c r="J54" s="264"/>
    </row>
  </sheetData>
  <sortState xmlns:xlrd2="http://schemas.microsoft.com/office/spreadsheetml/2017/richdata2" ref="B3:N49">
    <sortCondition ref="D3:D49"/>
  </sortState>
  <mergeCells count="2">
    <mergeCell ref="B50:I50"/>
    <mergeCell ref="B51:D51"/>
  </mergeCells>
  <pageMargins left="0.75" right="0.75" top="1" bottom="1" header="0.5" footer="0.5"/>
  <pageSetup paperSize="9" scale="51" fitToHeight="0" orientation="landscape" horizontalDpi="4294967292" verticalDpi="4294967292"/>
  <ignoredErrors>
    <ignoredError sqref="G42" numberStoredAsText="1"/>
    <ignoredError sqref="I41" twoDigitTextYear="1"/>
    <ignoredError sqref="H42:I42" twoDigitTextYear="1" numberStoredAsText="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8"/>
  <sheetViews>
    <sheetView workbookViewId="0">
      <selection activeCell="H23" sqref="H23"/>
    </sheetView>
  </sheetViews>
  <sheetFormatPr baseColWidth="10" defaultColWidth="10.83203125" defaultRowHeight="16"/>
  <cols>
    <col min="1" max="1" width="4" style="25" customWidth="1"/>
    <col min="2" max="2" width="9.6640625" style="25" customWidth="1"/>
    <col min="3" max="3" width="9.83203125" style="25" bestFit="1" customWidth="1"/>
    <col min="4" max="4" width="38.6640625" style="25" bestFit="1" customWidth="1"/>
    <col min="5" max="5" width="14.6640625" style="25" bestFit="1" customWidth="1"/>
    <col min="6" max="6" width="21.5" style="25" bestFit="1" customWidth="1"/>
    <col min="7" max="7" width="8.5" style="155" bestFit="1" customWidth="1"/>
    <col min="8" max="8" width="8.33203125" style="140" bestFit="1" customWidth="1"/>
    <col min="9" max="9" width="9.33203125" style="140" bestFit="1" customWidth="1"/>
    <col min="10" max="10" width="17.83203125" style="25" customWidth="1"/>
    <col min="11" max="11" width="18.6640625" style="25" bestFit="1" customWidth="1"/>
    <col min="12" max="12" width="10.6640625" style="25" customWidth="1"/>
    <col min="13" max="13" width="37.83203125" style="25" customWidth="1"/>
    <col min="14" max="14" width="0" style="25" hidden="1" customWidth="1"/>
    <col min="15" max="15" width="11.6640625" style="25" hidden="1" customWidth="1"/>
    <col min="16" max="16" width="0" style="25" hidden="1" customWidth="1"/>
    <col min="17" max="17" width="11" style="25" hidden="1" customWidth="1"/>
    <col min="18" max="19" width="0" style="25" hidden="1" customWidth="1"/>
    <col min="20" max="20" width="11" style="25" hidden="1" customWidth="1"/>
    <col min="21" max="22" width="0" style="25" hidden="1" customWidth="1"/>
    <col min="23" max="24" width="11.6640625" style="25" hidden="1" customWidth="1"/>
    <col min="25" max="25" width="11" style="25" hidden="1" customWidth="1"/>
    <col min="26" max="16384" width="10.83203125" style="25"/>
  </cols>
  <sheetData>
    <row r="1" spans="1:25" s="306" customFormat="1" ht="111" thickBot="1">
      <c r="A1" s="307"/>
      <c r="B1" s="295" t="s">
        <v>7</v>
      </c>
      <c r="C1" s="295" t="s">
        <v>12</v>
      </c>
      <c r="D1" s="295" t="s">
        <v>3</v>
      </c>
      <c r="E1" s="281" t="s">
        <v>1</v>
      </c>
      <c r="F1" s="281" t="s">
        <v>287</v>
      </c>
      <c r="G1" s="296" t="s">
        <v>64</v>
      </c>
      <c r="H1" s="297" t="s">
        <v>601</v>
      </c>
      <c r="I1" s="297" t="s">
        <v>602</v>
      </c>
      <c r="J1" s="302" t="s">
        <v>187</v>
      </c>
      <c r="K1" s="299" t="s">
        <v>603</v>
      </c>
      <c r="L1" s="300" t="s">
        <v>2</v>
      </c>
      <c r="M1" s="295" t="s">
        <v>604</v>
      </c>
      <c r="N1" s="303" t="s">
        <v>188</v>
      </c>
      <c r="O1" s="304" t="s">
        <v>189</v>
      </c>
      <c r="P1" s="304" t="s">
        <v>190</v>
      </c>
      <c r="Q1" s="304" t="s">
        <v>191</v>
      </c>
      <c r="R1" s="304" t="s">
        <v>192</v>
      </c>
      <c r="S1" s="304" t="s">
        <v>193</v>
      </c>
      <c r="T1" s="304" t="s">
        <v>194</v>
      </c>
      <c r="U1" s="304" t="s">
        <v>195</v>
      </c>
      <c r="V1" s="304" t="s">
        <v>196</v>
      </c>
      <c r="W1" s="303" t="s">
        <v>197</v>
      </c>
      <c r="X1" s="305"/>
      <c r="Y1" s="305"/>
    </row>
    <row r="2" spans="1:25" s="306" customFormat="1" ht="14">
      <c r="A2" s="307"/>
      <c r="B2" s="776"/>
      <c r="C2" s="776"/>
      <c r="D2" s="776"/>
      <c r="E2" s="777"/>
      <c r="F2" s="777"/>
      <c r="G2" s="778"/>
      <c r="H2" s="779"/>
      <c r="I2" s="779"/>
      <c r="J2" s="780"/>
      <c r="K2" s="781"/>
      <c r="L2" s="782"/>
      <c r="M2" s="776"/>
      <c r="N2" s="350"/>
      <c r="O2" s="351"/>
      <c r="P2" s="351"/>
      <c r="Q2" s="351"/>
      <c r="R2" s="351"/>
      <c r="S2" s="351"/>
      <c r="T2" s="351"/>
      <c r="U2" s="351"/>
      <c r="V2" s="351"/>
      <c r="W2" s="350"/>
      <c r="X2" s="305"/>
      <c r="Y2" s="305"/>
    </row>
    <row r="3" spans="1:25" s="63" customFormat="1" ht="39" customHeight="1">
      <c r="A3" s="57" t="s">
        <v>1391</v>
      </c>
      <c r="B3" s="89" t="s">
        <v>6</v>
      </c>
      <c r="C3" s="59" t="s">
        <v>1444</v>
      </c>
      <c r="D3" s="59" t="s">
        <v>1442</v>
      </c>
      <c r="E3" s="785" t="s">
        <v>1445</v>
      </c>
      <c r="F3" s="58" t="s">
        <v>1443</v>
      </c>
      <c r="G3" s="553">
        <v>15.875</v>
      </c>
      <c r="H3" s="166" t="s">
        <v>1260</v>
      </c>
      <c r="I3" s="178" t="s">
        <v>106</v>
      </c>
      <c r="J3" s="61">
        <v>200264</v>
      </c>
      <c r="K3" s="58" t="s">
        <v>1389</v>
      </c>
      <c r="L3" s="59" t="s">
        <v>6</v>
      </c>
      <c r="M3" s="59" t="s">
        <v>1441</v>
      </c>
      <c r="N3" s="62"/>
      <c r="O3" s="62"/>
      <c r="P3" s="62"/>
      <c r="Q3" s="62"/>
      <c r="R3" s="62"/>
      <c r="S3" s="62"/>
      <c r="T3" s="62"/>
      <c r="U3" s="62"/>
      <c r="V3" s="62"/>
      <c r="W3" s="62"/>
      <c r="X3" s="26"/>
      <c r="Y3" s="27"/>
    </row>
    <row r="4" spans="1:25" s="63" customFormat="1" ht="51">
      <c r="A4" s="57" t="s">
        <v>1391</v>
      </c>
      <c r="B4" s="432" t="s">
        <v>6</v>
      </c>
      <c r="C4" s="433" t="s">
        <v>1397</v>
      </c>
      <c r="D4" s="433" t="s">
        <v>1399</v>
      </c>
      <c r="E4" s="662" t="s">
        <v>1407</v>
      </c>
      <c r="F4" s="434" t="s">
        <v>1398</v>
      </c>
      <c r="G4" s="435">
        <v>15.875</v>
      </c>
      <c r="H4" s="436" t="s">
        <v>1388</v>
      </c>
      <c r="I4" s="167" t="s">
        <v>38</v>
      </c>
      <c r="J4" s="437">
        <v>74516</v>
      </c>
      <c r="K4" s="434" t="s">
        <v>1389</v>
      </c>
      <c r="L4" s="433" t="s">
        <v>6</v>
      </c>
      <c r="M4" s="433" t="s">
        <v>1390</v>
      </c>
      <c r="N4" s="62"/>
      <c r="O4" s="62"/>
      <c r="P4" s="62"/>
      <c r="Q4" s="62"/>
      <c r="R4" s="62"/>
      <c r="S4" s="62"/>
      <c r="T4" s="62"/>
      <c r="U4" s="62"/>
      <c r="V4" s="62"/>
      <c r="W4" s="62"/>
      <c r="X4" s="26"/>
      <c r="Y4" s="27"/>
    </row>
    <row r="5" spans="1:25" s="63" customFormat="1" ht="68">
      <c r="A5" s="57"/>
      <c r="B5" s="432" t="s">
        <v>6</v>
      </c>
      <c r="C5" s="433" t="s">
        <v>1056</v>
      </c>
      <c r="D5" s="433" t="s">
        <v>1054</v>
      </c>
      <c r="E5" s="433" t="s">
        <v>147</v>
      </c>
      <c r="F5" s="434" t="s">
        <v>1055</v>
      </c>
      <c r="G5" s="435" t="s">
        <v>731</v>
      </c>
      <c r="H5" s="436" t="s">
        <v>31</v>
      </c>
      <c r="I5" s="167" t="s">
        <v>46</v>
      </c>
      <c r="J5" s="437">
        <v>90000</v>
      </c>
      <c r="K5" s="434" t="s">
        <v>102</v>
      </c>
      <c r="L5" s="433" t="s">
        <v>6</v>
      </c>
      <c r="M5" s="433" t="s">
        <v>248</v>
      </c>
      <c r="N5" s="62">
        <v>149280</v>
      </c>
      <c r="O5" s="62"/>
      <c r="P5" s="62"/>
      <c r="Q5" s="62">
        <v>20668</v>
      </c>
      <c r="R5" s="62"/>
      <c r="S5" s="62">
        <v>36000</v>
      </c>
      <c r="T5" s="62">
        <v>18500</v>
      </c>
      <c r="U5" s="62">
        <v>2000</v>
      </c>
      <c r="V5" s="62"/>
      <c r="W5" s="62">
        <v>39628</v>
      </c>
      <c r="X5" s="26">
        <f t="shared" ref="X5" si="0">SUM(N5:W5)</f>
        <v>266076</v>
      </c>
      <c r="Y5" s="27">
        <f t="shared" ref="Y5" si="1">X5-J5</f>
        <v>176076</v>
      </c>
    </row>
    <row r="6" spans="1:25" s="57" customFormat="1" ht="52" thickBot="1">
      <c r="A6" s="113"/>
      <c r="B6" s="352" t="s">
        <v>6</v>
      </c>
      <c r="C6" s="353" t="s">
        <v>9</v>
      </c>
      <c r="D6" s="353" t="s">
        <v>21</v>
      </c>
      <c r="E6" s="353" t="s">
        <v>71</v>
      </c>
      <c r="F6" s="353" t="s">
        <v>409</v>
      </c>
      <c r="G6" s="354">
        <v>15.657</v>
      </c>
      <c r="H6" s="179" t="s">
        <v>410</v>
      </c>
      <c r="I6" s="180" t="s">
        <v>41</v>
      </c>
      <c r="J6" s="355">
        <v>56000</v>
      </c>
      <c r="K6" s="353" t="s">
        <v>102</v>
      </c>
      <c r="L6" s="64" t="s">
        <v>6</v>
      </c>
      <c r="M6" s="64" t="s">
        <v>500</v>
      </c>
      <c r="N6" s="62"/>
      <c r="O6" s="62">
        <v>36600</v>
      </c>
      <c r="P6" s="62"/>
      <c r="Q6" s="62">
        <v>2799.9</v>
      </c>
      <c r="R6" s="62"/>
      <c r="S6" s="62"/>
      <c r="T6" s="62">
        <v>5761.39</v>
      </c>
      <c r="U6" s="62"/>
      <c r="V6" s="62"/>
      <c r="W6" s="62">
        <v>10838.71</v>
      </c>
      <c r="X6" s="114">
        <f t="shared" ref="X6" si="2">SUM(N6:W6)</f>
        <v>56000</v>
      </c>
      <c r="Y6" s="114">
        <f>X6-J6</f>
        <v>0</v>
      </c>
    </row>
    <row r="7" spans="1:25" ht="31" customHeight="1">
      <c r="B7" s="815"/>
      <c r="C7" s="815"/>
      <c r="D7" s="815"/>
      <c r="E7" s="815"/>
      <c r="F7" s="815"/>
      <c r="G7" s="815"/>
      <c r="H7" s="815"/>
      <c r="I7" s="815"/>
      <c r="J7" s="443">
        <f>SUM(J3:J6)</f>
        <v>420780</v>
      </c>
      <c r="K7" s="32"/>
      <c r="L7" s="32"/>
      <c r="M7" s="32"/>
    </row>
    <row r="8" spans="1:25" ht="25">
      <c r="B8" s="811" t="s">
        <v>976</v>
      </c>
      <c r="C8" s="811"/>
      <c r="D8" s="811"/>
    </row>
  </sheetData>
  <mergeCells count="2">
    <mergeCell ref="B7:I7"/>
    <mergeCell ref="B8:D8"/>
  </mergeCells>
  <pageMargins left="0.75" right="0.75" top="1" bottom="1" header="0.5" footer="0.5"/>
  <pageSetup paperSize="9" scale="66" fitToHeight="0" orientation="landscape" horizontalDpi="4294967292" verticalDpi="4294967292"/>
  <ignoredErrors>
    <ignoredError sqref="G5" numberStoredAsText="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2"/>
  <sheetViews>
    <sheetView workbookViewId="0">
      <selection activeCell="E23" sqref="E23"/>
    </sheetView>
  </sheetViews>
  <sheetFormatPr baseColWidth="10" defaultColWidth="10.83203125" defaultRowHeight="16"/>
  <cols>
    <col min="1" max="1" width="4" style="25" customWidth="1"/>
    <col min="2" max="2" width="10.83203125" style="25"/>
    <col min="3" max="3" width="16.83203125" style="25" customWidth="1"/>
    <col min="4" max="4" width="36.33203125" style="25" customWidth="1"/>
    <col min="5" max="5" width="19.83203125" style="25" customWidth="1"/>
    <col min="6" max="6" width="18.5" style="25" customWidth="1"/>
    <col min="7" max="7" width="11" style="13" bestFit="1" customWidth="1"/>
    <col min="8" max="9" width="10.83203125" style="140"/>
    <col min="10" max="10" width="17" style="25" bestFit="1" customWidth="1"/>
    <col min="11" max="12" width="10.83203125" style="25"/>
    <col min="13" max="13" width="40.1640625" style="25" customWidth="1"/>
    <col min="14" max="14" width="35.1640625" style="25" hidden="1" customWidth="1"/>
    <col min="15" max="15" width="11" style="25" hidden="1" customWidth="1"/>
    <col min="16" max="16" width="12.6640625" style="25" hidden="1" customWidth="1"/>
    <col min="17" max="17" width="0" style="25" hidden="1" customWidth="1"/>
    <col min="18" max="21" width="11.6640625" style="25" hidden="1" customWidth="1"/>
    <col min="22" max="22" width="0" style="25" hidden="1" customWidth="1"/>
    <col min="23" max="24" width="11.6640625" style="25" hidden="1" customWidth="1"/>
    <col min="25" max="25" width="12.6640625" style="25" hidden="1" customWidth="1"/>
    <col min="26" max="26" width="11" style="25" bestFit="1" customWidth="1"/>
    <col min="27" max="16384" width="10.83203125" style="25"/>
  </cols>
  <sheetData>
    <row r="1" spans="1:25" s="306" customFormat="1" ht="111" thickBot="1">
      <c r="A1" s="307"/>
      <c r="B1" s="295" t="s">
        <v>7</v>
      </c>
      <c r="C1" s="295" t="s">
        <v>12</v>
      </c>
      <c r="D1" s="295" t="s">
        <v>3</v>
      </c>
      <c r="E1" s="281" t="s">
        <v>1</v>
      </c>
      <c r="F1" s="281" t="s">
        <v>287</v>
      </c>
      <c r="G1" s="296" t="s">
        <v>64</v>
      </c>
      <c r="H1" s="297" t="s">
        <v>601</v>
      </c>
      <c r="I1" s="297" t="s">
        <v>602</v>
      </c>
      <c r="J1" s="302" t="s">
        <v>187</v>
      </c>
      <c r="K1" s="299" t="s">
        <v>603</v>
      </c>
      <c r="L1" s="300" t="s">
        <v>2</v>
      </c>
      <c r="M1" s="295" t="s">
        <v>604</v>
      </c>
      <c r="N1" s="303" t="s">
        <v>188</v>
      </c>
      <c r="O1" s="304" t="s">
        <v>189</v>
      </c>
      <c r="P1" s="304" t="s">
        <v>190</v>
      </c>
      <c r="Q1" s="304" t="s">
        <v>191</v>
      </c>
      <c r="R1" s="304" t="s">
        <v>192</v>
      </c>
      <c r="S1" s="304" t="s">
        <v>193</v>
      </c>
      <c r="T1" s="304" t="s">
        <v>194</v>
      </c>
      <c r="U1" s="304" t="s">
        <v>195</v>
      </c>
      <c r="V1" s="304" t="s">
        <v>196</v>
      </c>
      <c r="W1" s="303" t="s">
        <v>197</v>
      </c>
      <c r="X1" s="305"/>
      <c r="Y1" s="305"/>
    </row>
    <row r="2" spans="1:25" s="119" customFormat="1" ht="51">
      <c r="A2" s="115"/>
      <c r="B2" s="116" t="s">
        <v>130</v>
      </c>
      <c r="C2" s="67" t="s">
        <v>1447</v>
      </c>
      <c r="D2" s="67" t="s">
        <v>1448</v>
      </c>
      <c r="E2" s="117" t="s">
        <v>722</v>
      </c>
      <c r="F2" s="117" t="s">
        <v>244</v>
      </c>
      <c r="G2" s="159">
        <v>12.002000000000001</v>
      </c>
      <c r="H2" s="150" t="s">
        <v>1402</v>
      </c>
      <c r="I2" s="147" t="s">
        <v>898</v>
      </c>
      <c r="J2" s="118">
        <v>328771</v>
      </c>
      <c r="K2" s="67" t="s">
        <v>1446</v>
      </c>
      <c r="L2" s="67" t="s">
        <v>5</v>
      </c>
      <c r="M2" s="67" t="s">
        <v>247</v>
      </c>
      <c r="N2" s="48"/>
      <c r="O2" s="48">
        <v>201388</v>
      </c>
      <c r="P2" s="48"/>
      <c r="Q2" s="48">
        <v>72500</v>
      </c>
      <c r="R2" s="48"/>
      <c r="S2" s="48">
        <v>1200</v>
      </c>
      <c r="T2" s="48">
        <v>600</v>
      </c>
      <c r="U2" s="48"/>
      <c r="V2" s="48">
        <v>42902</v>
      </c>
      <c r="W2" s="48">
        <v>85165</v>
      </c>
      <c r="X2" s="27">
        <f t="shared" ref="X2" si="0">SUM(N2:W2)</f>
        <v>403755</v>
      </c>
      <c r="Y2" s="27">
        <f>X2-J2</f>
        <v>74984</v>
      </c>
    </row>
    <row r="3" spans="1:25" s="119" customFormat="1" ht="68">
      <c r="A3" s="115"/>
      <c r="B3" s="44" t="s">
        <v>130</v>
      </c>
      <c r="C3" s="45" t="s">
        <v>132</v>
      </c>
      <c r="D3" s="45" t="s">
        <v>906</v>
      </c>
      <c r="E3" s="46" t="s">
        <v>721</v>
      </c>
      <c r="F3" s="46" t="s">
        <v>133</v>
      </c>
      <c r="G3" s="160">
        <v>59.036999999999999</v>
      </c>
      <c r="H3" s="103" t="s">
        <v>347</v>
      </c>
      <c r="I3" s="148" t="s">
        <v>714</v>
      </c>
      <c r="J3" s="47">
        <v>544440</v>
      </c>
      <c r="K3" s="45" t="s">
        <v>134</v>
      </c>
      <c r="L3" s="45" t="s">
        <v>5</v>
      </c>
      <c r="M3" s="45" t="s">
        <v>297</v>
      </c>
      <c r="N3" s="48"/>
      <c r="O3" s="48">
        <v>243098</v>
      </c>
      <c r="P3" s="48"/>
      <c r="Q3" s="48">
        <v>78446</v>
      </c>
      <c r="R3" s="48">
        <v>50913</v>
      </c>
      <c r="S3" s="48">
        <v>61600</v>
      </c>
      <c r="T3" s="48">
        <v>18338</v>
      </c>
      <c r="U3" s="48"/>
      <c r="V3" s="48">
        <v>55121</v>
      </c>
      <c r="W3" s="48">
        <v>35000</v>
      </c>
      <c r="X3" s="27">
        <f t="shared" ref="X3:X4" si="1">SUM(N3:W3)</f>
        <v>542516</v>
      </c>
      <c r="Y3" s="27">
        <f>X3-J3</f>
        <v>-1924</v>
      </c>
    </row>
    <row r="4" spans="1:25" s="119" customFormat="1" ht="23" customHeight="1">
      <c r="A4" s="115"/>
      <c r="B4" s="826" t="s">
        <v>130</v>
      </c>
      <c r="C4" s="823" t="s">
        <v>998</v>
      </c>
      <c r="D4" s="45" t="s">
        <v>715</v>
      </c>
      <c r="E4" s="45" t="s">
        <v>720</v>
      </c>
      <c r="F4" s="45" t="s">
        <v>133</v>
      </c>
      <c r="G4" s="160">
        <v>59.036999999999999</v>
      </c>
      <c r="H4" s="103" t="s">
        <v>347</v>
      </c>
      <c r="I4" s="149" t="s">
        <v>714</v>
      </c>
      <c r="J4" s="47">
        <v>32654</v>
      </c>
      <c r="K4" s="817" t="s">
        <v>134</v>
      </c>
      <c r="L4" s="820" t="s">
        <v>5</v>
      </c>
      <c r="M4" s="817" t="s">
        <v>296</v>
      </c>
      <c r="N4" s="48"/>
      <c r="O4" s="48">
        <v>81637</v>
      </c>
      <c r="P4" s="48"/>
      <c r="Q4" s="48">
        <v>10183</v>
      </c>
      <c r="R4" s="48">
        <v>50615</v>
      </c>
      <c r="S4" s="48">
        <v>1223</v>
      </c>
      <c r="T4" s="48">
        <v>3808</v>
      </c>
      <c r="U4" s="48"/>
      <c r="V4" s="48">
        <v>4462</v>
      </c>
      <c r="W4" s="48"/>
      <c r="X4" s="27">
        <f t="shared" si="1"/>
        <v>151928</v>
      </c>
      <c r="Y4" s="27">
        <f>X4-J4</f>
        <v>119274</v>
      </c>
    </row>
    <row r="5" spans="1:25" s="119" customFormat="1" ht="17">
      <c r="A5" s="115"/>
      <c r="B5" s="827"/>
      <c r="C5" s="824"/>
      <c r="D5" s="45" t="s">
        <v>716</v>
      </c>
      <c r="E5" s="45" t="s">
        <v>724</v>
      </c>
      <c r="F5" s="45" t="s">
        <v>133</v>
      </c>
      <c r="G5" s="160">
        <v>59.036999999999999</v>
      </c>
      <c r="H5" s="103" t="s">
        <v>347</v>
      </c>
      <c r="I5" s="148" t="s">
        <v>714</v>
      </c>
      <c r="J5" s="47">
        <v>35000</v>
      </c>
      <c r="K5" s="818"/>
      <c r="L5" s="821"/>
      <c r="M5" s="818"/>
      <c r="N5" s="48"/>
      <c r="O5" s="48"/>
      <c r="P5" s="48"/>
      <c r="Q5" s="48"/>
      <c r="R5" s="48"/>
      <c r="S5" s="48"/>
      <c r="T5" s="48"/>
      <c r="U5" s="48"/>
      <c r="V5" s="48"/>
      <c r="W5" s="48"/>
      <c r="X5" s="27"/>
      <c r="Y5" s="27"/>
    </row>
    <row r="6" spans="1:25" s="119" customFormat="1" ht="17">
      <c r="A6" s="115"/>
      <c r="B6" s="827"/>
      <c r="C6" s="824"/>
      <c r="D6" s="45" t="s">
        <v>717</v>
      </c>
      <c r="E6" s="45" t="s">
        <v>725</v>
      </c>
      <c r="F6" s="45" t="s">
        <v>133</v>
      </c>
      <c r="G6" s="160">
        <v>59.036999999999999</v>
      </c>
      <c r="H6" s="103" t="s">
        <v>347</v>
      </c>
      <c r="I6" s="148" t="s">
        <v>714</v>
      </c>
      <c r="J6" s="47">
        <v>42000</v>
      </c>
      <c r="K6" s="818"/>
      <c r="L6" s="821"/>
      <c r="M6" s="818"/>
      <c r="N6" s="48"/>
      <c r="O6" s="48"/>
      <c r="P6" s="48"/>
      <c r="Q6" s="48"/>
      <c r="R6" s="48"/>
      <c r="S6" s="48"/>
      <c r="T6" s="48"/>
      <c r="U6" s="48"/>
      <c r="V6" s="48"/>
      <c r="W6" s="48"/>
      <c r="X6" s="27"/>
      <c r="Y6" s="27"/>
    </row>
    <row r="7" spans="1:25" s="119" customFormat="1" ht="17">
      <c r="A7" s="115"/>
      <c r="B7" s="827"/>
      <c r="C7" s="824"/>
      <c r="D7" s="45" t="s">
        <v>718</v>
      </c>
      <c r="E7" s="45" t="s">
        <v>726</v>
      </c>
      <c r="F7" s="45" t="s">
        <v>133</v>
      </c>
      <c r="G7" s="160">
        <v>59.036999999999999</v>
      </c>
      <c r="H7" s="103" t="s">
        <v>347</v>
      </c>
      <c r="I7" s="148" t="s">
        <v>714</v>
      </c>
      <c r="J7" s="47">
        <v>50000</v>
      </c>
      <c r="K7" s="818"/>
      <c r="L7" s="821"/>
      <c r="M7" s="818"/>
      <c r="N7" s="48"/>
      <c r="O7" s="48"/>
      <c r="P7" s="48"/>
      <c r="Q7" s="48"/>
      <c r="R7" s="48"/>
      <c r="S7" s="48"/>
      <c r="T7" s="48"/>
      <c r="U7" s="48"/>
      <c r="V7" s="48"/>
      <c r="W7" s="48"/>
      <c r="X7" s="27"/>
      <c r="Y7" s="27"/>
    </row>
    <row r="8" spans="1:25" s="119" customFormat="1" ht="17">
      <c r="A8" s="115"/>
      <c r="B8" s="828"/>
      <c r="C8" s="825"/>
      <c r="D8" s="45" t="s">
        <v>719</v>
      </c>
      <c r="E8" s="45" t="s">
        <v>727</v>
      </c>
      <c r="F8" s="45" t="s">
        <v>133</v>
      </c>
      <c r="G8" s="160">
        <v>59.307000000000002</v>
      </c>
      <c r="H8" s="103" t="s">
        <v>347</v>
      </c>
      <c r="I8" s="148" t="s">
        <v>714</v>
      </c>
      <c r="J8" s="47">
        <v>18128</v>
      </c>
      <c r="K8" s="819"/>
      <c r="L8" s="822"/>
      <c r="M8" s="819"/>
      <c r="N8" s="48"/>
      <c r="O8" s="48"/>
      <c r="P8" s="48"/>
      <c r="Q8" s="48"/>
      <c r="R8" s="48"/>
      <c r="S8" s="48"/>
      <c r="T8" s="48"/>
      <c r="U8" s="48"/>
      <c r="V8" s="48"/>
      <c r="W8" s="48"/>
      <c r="X8" s="27"/>
      <c r="Y8" s="27"/>
    </row>
    <row r="9" spans="1:25" s="804" customFormat="1" ht="68">
      <c r="A9" s="796"/>
      <c r="B9" s="797" t="s">
        <v>130</v>
      </c>
      <c r="C9" s="798" t="s">
        <v>132</v>
      </c>
      <c r="D9" s="615" t="s">
        <v>178</v>
      </c>
      <c r="E9" s="799"/>
      <c r="F9" s="615" t="s">
        <v>1452</v>
      </c>
      <c r="G9" s="800">
        <v>59.036999999999999</v>
      </c>
      <c r="H9" s="801" t="s">
        <v>1360</v>
      </c>
      <c r="I9" s="316" t="s">
        <v>1450</v>
      </c>
      <c r="J9" s="802">
        <v>611111</v>
      </c>
      <c r="K9" s="615" t="s">
        <v>1451</v>
      </c>
      <c r="L9" s="803" t="s">
        <v>5</v>
      </c>
      <c r="M9" s="615" t="s">
        <v>297</v>
      </c>
      <c r="N9" s="763"/>
      <c r="O9" s="763"/>
      <c r="P9" s="763"/>
      <c r="Q9" s="763"/>
      <c r="R9" s="763"/>
      <c r="S9" s="763"/>
      <c r="T9" s="763"/>
      <c r="U9" s="763"/>
      <c r="V9" s="763"/>
      <c r="W9" s="763"/>
      <c r="X9" s="623"/>
      <c r="Y9" s="623"/>
    </row>
    <row r="10" spans="1:25" s="119" customFormat="1" ht="17" thickBot="1">
      <c r="A10" s="115"/>
      <c r="B10" s="795"/>
      <c r="C10" s="788"/>
      <c r="D10" s="202"/>
      <c r="E10" s="202"/>
      <c r="F10" s="202"/>
      <c r="G10" s="789"/>
      <c r="H10" s="790"/>
      <c r="I10" s="791"/>
      <c r="J10" s="792"/>
      <c r="K10" s="793"/>
      <c r="L10" s="794"/>
      <c r="M10" s="202"/>
      <c r="N10" s="56"/>
      <c r="O10" s="56"/>
      <c r="P10" s="56"/>
      <c r="Q10" s="56"/>
      <c r="R10" s="56"/>
      <c r="S10" s="56"/>
      <c r="T10" s="56"/>
      <c r="U10" s="56"/>
      <c r="V10" s="56"/>
      <c r="W10" s="56"/>
      <c r="X10" s="27"/>
      <c r="Y10" s="27"/>
    </row>
    <row r="11" spans="1:25" ht="27" customHeight="1" thickTop="1">
      <c r="B11" s="815"/>
      <c r="C11" s="815"/>
      <c r="D11" s="815"/>
      <c r="E11" s="815"/>
      <c r="F11" s="815"/>
      <c r="G11" s="815"/>
      <c r="H11" s="815"/>
      <c r="I11" s="815"/>
      <c r="J11" s="443">
        <f>SUM(J2:J9)</f>
        <v>1662104</v>
      </c>
      <c r="K11" s="32"/>
      <c r="L11" s="32"/>
      <c r="M11" s="32"/>
      <c r="N11" s="30"/>
      <c r="O11" s="30"/>
      <c r="P11" s="30"/>
      <c r="Q11" s="30"/>
    </row>
    <row r="12" spans="1:25" ht="25">
      <c r="B12" s="811" t="s">
        <v>976</v>
      </c>
      <c r="C12" s="811"/>
      <c r="D12" s="811"/>
    </row>
  </sheetData>
  <mergeCells count="7">
    <mergeCell ref="B11:I11"/>
    <mergeCell ref="M4:M8"/>
    <mergeCell ref="L4:L8"/>
    <mergeCell ref="K4:K8"/>
    <mergeCell ref="B12:D12"/>
    <mergeCell ref="C4:C8"/>
    <mergeCell ref="B4:B8"/>
  </mergeCells>
  <pageMargins left="0.75" right="0.75" top="1" bottom="1" header="0.5" footer="0.5"/>
  <pageSetup paperSize="9" scale="57" fitToHeight="0" orientation="landscape" horizontalDpi="4294967292" verticalDpi="4294967292"/>
  <ignoredErrors>
    <ignoredError sqref="H3:I8" twoDigitTextYear="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MASTER</vt:lpstr>
      <vt:lpstr>CEDDERS</vt:lpstr>
      <vt:lpstr>CLASS</vt:lpstr>
      <vt:lpstr>CNAS</vt:lpstr>
      <vt:lpstr>EMSS</vt:lpstr>
      <vt:lpstr>MARI</vt:lpstr>
      <vt:lpstr>ORSP</vt:lpstr>
      <vt:lpstr>RCUOG</vt:lpstr>
      <vt:lpstr>SBPA</vt:lpstr>
      <vt:lpstr>SOH</vt:lpstr>
      <vt:lpstr>WERI</vt:lpstr>
      <vt:lpstr>MISC DEPT</vt:lpstr>
      <vt:lpstr>CLOSED</vt:lpstr>
      <vt:lpstr>ACRONYMS</vt:lpstr>
      <vt:lpstr>CEDDERS!Print_Area</vt:lpstr>
      <vt:lpstr>CLASS!Print_Area</vt:lpstr>
      <vt:lpstr>CLOSED!Print_Area</vt:lpstr>
      <vt:lpstr>CNAS!Print_Area</vt:lpstr>
      <vt:lpstr>EMSS!Print_Area</vt:lpstr>
      <vt:lpstr>MARI!Print_Area</vt:lpstr>
      <vt:lpstr>MASTER!Print_Area</vt:lpstr>
      <vt:lpstr>'MISC DEPT'!Print_Area</vt:lpstr>
      <vt:lpstr>ORSP!Print_Area</vt:lpstr>
      <vt:lpstr>RCUOG!Print_Area</vt:lpstr>
      <vt:lpstr>SBPA!Print_Area</vt:lpstr>
      <vt:lpstr>SOH!Print_Area</vt:lpstr>
      <vt:lpstr>WERI!Print_Area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dc:creator>
  <cp:lastModifiedBy>Microsoft Office User</cp:lastModifiedBy>
  <cp:lastPrinted>2018-11-27T05:56:37Z</cp:lastPrinted>
  <dcterms:created xsi:type="dcterms:W3CDTF">2017-06-14T23:13:52Z</dcterms:created>
  <dcterms:modified xsi:type="dcterms:W3CDTF">2019-03-25T06:03:31Z</dcterms:modified>
</cp:coreProperties>
</file>